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1295" windowHeight="5985" tabRatio="642" firstSheet="7" activeTab="9"/>
  </bookViews>
  <sheets>
    <sheet name="Baseline Actual Emissions" sheetId="1" state="hidden" r:id="rId1"/>
    <sheet name="H2SO4 Emissions" sheetId="2" state="hidden" r:id="rId2"/>
    <sheet name="Emission Projections" sheetId="3" state="hidden" r:id="rId3"/>
    <sheet name="Adjustment Projections" sheetId="4" state="hidden" r:id="rId4"/>
    <sheet name="Boilers Actual to Actual" sheetId="5" state="hidden" r:id="rId5"/>
    <sheet name="Material Handling Baseline" sheetId="6" state="hidden" r:id="rId6"/>
    <sheet name="Mat Hand Pt Source Baseline" sheetId="7" state="hidden" r:id="rId7"/>
    <sheet name="Instructions" sheetId="8" r:id="rId8"/>
    <sheet name="Emission Factors" sheetId="9" r:id="rId9"/>
    <sheet name="Emission Calcs" sheetId="10" r:id="rId10"/>
    <sheet name="Mat Handling Actual to Actual" sheetId="11" state="hidden" r:id="rId11"/>
    <sheet name="Hauling Baseline" sheetId="12" state="hidden" r:id="rId12"/>
    <sheet name="Hauling Actual to Actual" sheetId="13" state="hidden" r:id="rId13"/>
  </sheets>
  <externalReferences>
    <externalReference r:id="rId16"/>
  </externalReferences>
  <definedNames>
    <definedName name="_Key1" hidden="1">#REF!</definedName>
    <definedName name="_Order1" hidden="1">255</definedName>
    <definedName name="_Sort" hidden="1">#REF!</definedName>
    <definedName name="Aa">#REF!</definedName>
    <definedName name="Ab">#REF!</definedName>
    <definedName name="Ac">#REF!</definedName>
    <definedName name="Acarb_C">#REF!</definedName>
    <definedName name="Acarb_HC">#REF!</definedName>
    <definedName name="ACI_pph">#REF!</definedName>
    <definedName name="AFUDC">#REF!</definedName>
    <definedName name="AFUDC_Rate">#REF!</definedName>
    <definedName name="AH_InletT">#REF!</definedName>
    <definedName name="AH_Leak">#REF!</definedName>
    <definedName name="Air_Mst">#REF!</definedName>
    <definedName name="Air2FD">#REF!</definedName>
    <definedName name="Air2PA">#REF!</definedName>
    <definedName name="Air2SA">#REF!</definedName>
    <definedName name="Airlbf">#REF!</definedName>
    <definedName name="AirMoist">#REF!</definedName>
    <definedName name="AirMstLoss">#REF!</definedName>
    <definedName name="Allowance">#REF!</definedName>
    <definedName name="Allowance_NOx">#REF!</definedName>
    <definedName name="AllTemplate2">#REF!</definedName>
    <definedName name="alpha">#REF!</definedName>
    <definedName name="AmSlip_pph">#REF!</definedName>
    <definedName name="AmSulf_pph">#REF!</definedName>
    <definedName name="Ash_lbf">#REF!</definedName>
    <definedName name="Atox_pph">#REF!</definedName>
    <definedName name="AuxPMW">#REF!</definedName>
    <definedName name="BA_ht">#REF!</definedName>
    <definedName name="BA_tpy">#REF!</definedName>
    <definedName name="BA_yrs">#REF!</definedName>
    <definedName name="BFPT_Exh_h">#REF!</definedName>
    <definedName name="BFPT_Flow">#REF!</definedName>
    <definedName name="BFPT_Heat_R">#REF!</definedName>
    <definedName name="BlrLoss">#REF!</definedName>
    <definedName name="Boiler_Efficiency">#REF!</definedName>
    <definedName name="BookYears">#REF!</definedName>
    <definedName name="BookYearsSC">#REF!</definedName>
    <definedName name="BotAsh_lbMW">#REF!</definedName>
    <definedName name="BotAsh_pph">#REF!</definedName>
    <definedName name="C_Cost__kw">#REF!</definedName>
    <definedName name="C_Cost_dkw">#REF!</definedName>
    <definedName name="C_Loss">#REF!</definedName>
    <definedName name="CA_Flow">#REF!</definedName>
    <definedName name="CaLoss">#REF!</definedName>
    <definedName name="CaO">#REF!</definedName>
    <definedName name="Capital">#REF!</definedName>
    <definedName name="CaseID2">#REF!</definedName>
    <definedName name="CASR">#REF!</definedName>
    <definedName name="CC_esc">#REF!</definedName>
    <definedName name="CF">#REF!</definedName>
    <definedName name="CFBA_ht">#REF!</definedName>
    <definedName name="CFBA_tpy">#REF!</definedName>
    <definedName name="CFBA_yrs">#REF!</definedName>
    <definedName name="Cg">#REF!</definedName>
    <definedName name="CL_pph">#REF!</definedName>
    <definedName name="Cn">#REF!</definedName>
    <definedName name="CO_pph">#REF!</definedName>
    <definedName name="CO2_pph">#REF!</definedName>
    <definedName name="CO2vpct">#REF!</definedName>
    <definedName name="COD">#REF!</definedName>
    <definedName name="CombProd">#REF!</definedName>
    <definedName name="Cond_h">#REF!</definedName>
    <definedName name="CT_AIR_LBwtr">#REF!</definedName>
    <definedName name="CT_AIRcfm">#REF!</definedName>
    <definedName name="CT_Aux_Loss">#REF!</definedName>
    <definedName name="CW_Flow">#REF!</definedName>
    <definedName name="CW_T_Rise">#REF!</definedName>
    <definedName name="D">#REF!</definedName>
    <definedName name="De">#REF!</definedName>
    <definedName name="DebtReturn">#REF!</definedName>
    <definedName name="DescriptionColumn2">#REF!</definedName>
    <definedName name="Di">#REF!</definedName>
    <definedName name="Dibasic_Acid_pph">#REF!</definedName>
    <definedName name="Dibasic_C">#REF!</definedName>
    <definedName name="dieselIC">#REF!</definedName>
    <definedName name="Discount">#REF!</definedName>
    <definedName name="DiscRate">#REF!</definedName>
    <definedName name="Disposal">#REF!</definedName>
    <definedName name="Dome">#REF!</definedName>
    <definedName name="DPb">#REF!</definedName>
    <definedName name="DPv">#REF!</definedName>
    <definedName name="Dry_Air">#REF!</definedName>
    <definedName name="DryAir">#REF!</definedName>
    <definedName name="DRYGAS">#REF!</definedName>
    <definedName name="DTv">#REF!</definedName>
    <definedName name="dulo_GHV">#REF!</definedName>
    <definedName name="EAF">#REF!</definedName>
    <definedName name="EquityReturn">#REF!</definedName>
    <definedName name="Ex_GasT">#REF!</definedName>
    <definedName name="Exh_E">#REF!</definedName>
    <definedName name="Exit_FG_T">#REF!</definedName>
    <definedName name="Ext_esc">#REF!</definedName>
    <definedName name="F_Lime_C">#REF!</definedName>
    <definedName name="FA_ht">#REF!</definedName>
    <definedName name="FA_tpy">#REF!</definedName>
    <definedName name="FA_yrs">#REF!</definedName>
    <definedName name="FAFGD_ht">#REF!</definedName>
    <definedName name="FAFGD_tpy">#REF!</definedName>
    <definedName name="Fafgd_yrs">#REF!</definedName>
    <definedName name="FC_esc">#REF!</definedName>
    <definedName name="FCR">#REF!</definedName>
    <definedName name="FCR_SC">#REF!</definedName>
    <definedName name="FD_P_Rise">#REF!</definedName>
    <definedName name="FeO_perc">#REF!</definedName>
    <definedName name="FGasMst">#REF!</definedName>
    <definedName name="FGD_ht">#REF!</definedName>
    <definedName name="FGD_tpy">#REF!</definedName>
    <definedName name="FGD_yrs">#REF!</definedName>
    <definedName name="FGDdry_pph">#REF!</definedName>
    <definedName name="FGDWst_pph">#REF!</definedName>
    <definedName name="FGMW">#REF!</definedName>
    <definedName name="FilePath2">#REF!</definedName>
    <definedName name="FlueGas_cfm">#REF!</definedName>
    <definedName name="FlueGas_T">#REF!</definedName>
    <definedName name="FlyAsh_pph">#REF!</definedName>
    <definedName name="FMstLoss">#REF!</definedName>
    <definedName name="Fu_Ash">#REF!</definedName>
    <definedName name="Fu_C">#REF!</definedName>
    <definedName name="Fu_H2">#REF!</definedName>
    <definedName name="Fu_H2O">#REF!</definedName>
    <definedName name="FU_N">#REF!</definedName>
    <definedName name="Fu_O2">#REF!</definedName>
    <definedName name="Fu_S">#REF!</definedName>
    <definedName name="Fuel_C">#REF!</definedName>
    <definedName name="Fuel_Cton">#REF!</definedName>
    <definedName name="Fuel_pph">#REF!</definedName>
    <definedName name="Fuel2_pph">#REF!</definedName>
    <definedName name="GasFlow_lbf">#REF!</definedName>
    <definedName name="GasLoss">#REF!</definedName>
    <definedName name="GCInputs2">#REF!</definedName>
    <definedName name="GCInputsRow2">#REF!</definedName>
    <definedName name="GCOutputs2">#REF!</definedName>
    <definedName name="GCOutputsRow2">#REF!</definedName>
    <definedName name="ggo">#REF!</definedName>
    <definedName name="GHV">#REF!</definedName>
    <definedName name="GPHR">#REF!</definedName>
    <definedName name="GT_CompE">#REF!</definedName>
    <definedName name="GT_ExhGas">#REF!</definedName>
    <definedName name="GT_Net_out">#REF!</definedName>
    <definedName name="GTout">#REF!</definedName>
    <definedName name="H2Loss">#REF!</definedName>
    <definedName name="H2O_gpm">#REF!</definedName>
    <definedName name="H2Ovpct">#REF!</definedName>
    <definedName name="HAir">#REF!</definedName>
    <definedName name="HAP">#REF!</definedName>
    <definedName name="HAsh">#REF!</definedName>
    <definedName name="HD_cat">#REF!</definedName>
    <definedName name="Heat2Cond">#REF!</definedName>
    <definedName name="HeatInput">#REF!</definedName>
    <definedName name="HF_pph">#REF!</definedName>
    <definedName name="HGI">#REF!</definedName>
    <definedName name="HGTin">#REF!</definedName>
    <definedName name="HGTout">#REF!</definedName>
    <definedName name="HHRSGout">#REF!</definedName>
    <definedName name="HHV">#REF!</definedName>
    <definedName name="HI_mmB">#REF!</definedName>
    <definedName name="Hl">#REF!</definedName>
    <definedName name="Hlx">#REF!</definedName>
    <definedName name="Hrd">#REF!</definedName>
    <definedName name="Hro">#REF!</definedName>
    <definedName name="Hroc">#REF!</definedName>
    <definedName name="Hrod">#REF!</definedName>
    <definedName name="Hs">#REF!</definedName>
    <definedName name="HSorb">#REF!</definedName>
    <definedName name="Hvo">#REF!</definedName>
    <definedName name="I">#REF!</definedName>
    <definedName name="ID_P_Rise">#REF!</definedName>
    <definedName name="IncTaxRate">#REF!</definedName>
    <definedName name="Infilt">#REF!</definedName>
    <definedName name="INSERT2">#REF!</definedName>
    <definedName name="Inservice">#REF!</definedName>
    <definedName name="InsRate">#REF!</definedName>
    <definedName name="Ke">#REF!</definedName>
    <definedName name="Kn">#REF!</definedName>
    <definedName name="Kp">#REF!</definedName>
    <definedName name="Ks">#REF!</definedName>
    <definedName name="LastRow2">#REF!</definedName>
    <definedName name="LD_cat">#REF!</definedName>
    <definedName name="LFCR">#REF!</definedName>
    <definedName name="Life">#REF!</definedName>
    <definedName name="Lime_C">#REF!</definedName>
    <definedName name="Lime_pph">#REF!</definedName>
    <definedName name="Load">#REF!</definedName>
    <definedName name="LocationColumn2">#REF!</definedName>
    <definedName name="LP_Turb_E">#REF!</definedName>
    <definedName name="LPT_Heat_R">#REF!</definedName>
    <definedName name="LS">#REF!</definedName>
    <definedName name="Lw">#REF!</definedName>
    <definedName name="MACRSTable">#REF!</definedName>
    <definedName name="Mfg_mrgn">#REF!</definedName>
    <definedName name="MgLoss">#REF!</definedName>
    <definedName name="ModelID2">#REF!</definedName>
    <definedName name="MolWt">#REF!</definedName>
    <definedName name="MS_Flow">#REF!</definedName>
    <definedName name="Mv">#REF!</definedName>
    <definedName name="N">#REF!</definedName>
    <definedName name="N0_GT">#REF!</definedName>
    <definedName name="N2vpct">#REF!</definedName>
    <definedName name="NamesColumn2">#REF!</definedName>
    <definedName name="NGO">#REF!</definedName>
    <definedName name="NH3_pph">#REF!</definedName>
    <definedName name="NH3NO2_Molar">#REF!</definedName>
    <definedName name="No_SG">#REF!</definedName>
    <definedName name="No_ST">#REF!</definedName>
    <definedName name="No_Stacks">#REF!</definedName>
    <definedName name="NOx_MBtu">#REF!</definedName>
    <definedName name="NOx_pph">#REF!</definedName>
    <definedName name="NOX_Removal">#REF!</definedName>
    <definedName name="NOxpMB">#REF!</definedName>
    <definedName name="NPHR">#REF!</definedName>
    <definedName name="NTHR">#REF!</definedName>
    <definedName name="O_M">#REF!</definedName>
    <definedName name="O_M2">#REF!</definedName>
    <definedName name="O2pct">#REF!</definedName>
    <definedName name="OM_esc">#REF!</definedName>
    <definedName name="Ovpct">#REF!</definedName>
    <definedName name="Pa">#REF!</definedName>
    <definedName name="PA_P_Rise">#REF!</definedName>
    <definedName name="Partic_Eff">#REF!</definedName>
    <definedName name="Partic_pph">#REF!</definedName>
    <definedName name="Pbp">#REF!</definedName>
    <definedName name="Pbv">#REF!</definedName>
    <definedName name="PctDebt">#REF!</definedName>
    <definedName name="PctEquity">#REF!</definedName>
    <definedName name="Prange">#REF!</definedName>
    <definedName name="_xlnm.Print_Area" localSheetId="0">'Baseline Actual Emissions'!$A$5:$F$82</definedName>
    <definedName name="_xlnm.Print_Area" localSheetId="4">'Boilers Actual to Actual'!$A$1:$J$28</definedName>
    <definedName name="_xlnm.Print_Area" localSheetId="9">'Emission Calcs'!$A$3:$P$24</definedName>
    <definedName name="_xlnm.Print_Area" localSheetId="8">'Emission Factors'!$A$2:$J$25</definedName>
    <definedName name="_xlnm.Print_Area" localSheetId="2">'Emission Projections'!$A$1:$C$19</definedName>
    <definedName name="_xlnm.Print_Area" localSheetId="1">'H2SO4 Emissions'!$A$5:$H$64</definedName>
    <definedName name="_xlnm.Print_Area" localSheetId="7">'Instructions'!$A$2:$C$43</definedName>
    <definedName name="Print_Area_MI">#REF!</definedName>
    <definedName name="_xlnm.Print_Titles" localSheetId="0">'Baseline Actual Emissions'!$5:$10</definedName>
    <definedName name="_xlnm.Print_Titles" localSheetId="1">'H2SO4 Emissions'!$5:$10</definedName>
    <definedName name="Properties">'[1]IFR with Heel'!$Z$90:$AG$101</definedName>
    <definedName name="PropTax">#REF!</definedName>
    <definedName name="Pva">#REF!</definedName>
    <definedName name="Pvap">#REF!</definedName>
    <definedName name="Pvn">#REF!</definedName>
    <definedName name="Pvx">#REF!</definedName>
    <definedName name="Q">#REF!</definedName>
    <definedName name="QBlr">#REF!</definedName>
    <definedName name="Qg">#REF!</definedName>
    <definedName name="RadLoss">#REF!</definedName>
    <definedName name="Rep_Pwr_C">#REF!</definedName>
    <definedName name="Rr">#REF!</definedName>
    <definedName name="S_Removal">#REF!</definedName>
    <definedName name="SO2_CFB">#REF!</definedName>
    <definedName name="SO2_esc">#REF!</definedName>
    <definedName name="SO2_Pdry">#REF!</definedName>
    <definedName name="SO2vpct">#REF!</definedName>
    <definedName name="Sorb_lbf">#REF!</definedName>
    <definedName name="Sorb_pph">#REF!</definedName>
    <definedName name="SorbAsh">#REF!</definedName>
    <definedName name="SorbCaCO3">#REF!</definedName>
    <definedName name="SOrbCaO">#REF!</definedName>
    <definedName name="SorbMgCO3">#REF!</definedName>
    <definedName name="SorbMoist">#REF!</definedName>
    <definedName name="SOx_pph">#REF!</definedName>
    <definedName name="SOx_Uncntrl">#REF!</definedName>
    <definedName name="SOxpMB">#REF!</definedName>
    <definedName name="SOxppm">#REF!</definedName>
    <definedName name="Sr">#REF!</definedName>
    <definedName name="St">#REF!</definedName>
    <definedName name="St_acfm">#REF!</definedName>
    <definedName name="Stm_Inj_Flow">#REF!</definedName>
    <definedName name="STout">#REF!</definedName>
    <definedName name="SuAcid_pph">#REF!</definedName>
    <definedName name="SulGain">#REF!</definedName>
    <definedName name="T_Solid_Wst">#REF!</definedName>
    <definedName name="Taa">#REF!</definedName>
    <definedName name="Tan">#REF!</definedName>
    <definedName name="TAuxPwr">#REF!</definedName>
    <definedName name="Tax">#REF!</definedName>
    <definedName name="Tb">#REF!</definedName>
    <definedName name="Temp">#REF!</definedName>
    <definedName name="TemplateID2">#REF!</definedName>
    <definedName name="TH2O_gpm">#REF!</definedName>
    <definedName name="THAIR">#REF!</definedName>
    <definedName name="ThDRYGAS">#REF!</definedName>
    <definedName name="Tla">#REF!</definedName>
    <definedName name="Tln">#REF!</definedName>
    <definedName name="Tlx">#REF!</definedName>
    <definedName name="TotAirFlo">#REF!</definedName>
    <definedName name="TotHeatInput">#REF!</definedName>
    <definedName name="Tr">#REF!</definedName>
    <definedName name="Trange">#REF!</definedName>
    <definedName name="TRPwr">#REF!</definedName>
    <definedName name="Ts">#REF!</definedName>
    <definedName name="Type">#REF!</definedName>
    <definedName name="UnacLoss">#REF!</definedName>
    <definedName name="UOMColumn2">#REF!</definedName>
    <definedName name="ValueColumn2">#REF!</definedName>
    <definedName name="Velocity">#REF!</definedName>
    <definedName name="Vlx">#REF!</definedName>
    <definedName name="VOC_pph">#REF!</definedName>
    <definedName name="Vv">#REF!</definedName>
    <definedName name="Water_C">#REF!</definedName>
    <definedName name="Wv">#REF!</definedName>
    <definedName name="XSAIR">#REF!</definedName>
  </definedNames>
  <calcPr fullCalcOnLoad="1"/>
</workbook>
</file>

<file path=xl/sharedStrings.xml><?xml version="1.0" encoding="utf-8"?>
<sst xmlns="http://schemas.openxmlformats.org/spreadsheetml/2006/main" count="1044" uniqueCount="578">
  <si>
    <r>
      <t>The "Emission Factors" and "Emission Calculations" spreadsheets are template guides provided to facilities for submitting emission calculations in an electronic format. Submitting the calculations electronically will aid the Department in processing permit applications.  Please note that the templates are only a suggestion, and all listed values and calculations are examples which can be amended to meet your specific requirements.  Rows and columns may be added, deleted, and resized as necessary.  Facilities with emissions of greenhouse gases, lead, or HAPs can copy the "</t>
    </r>
    <r>
      <rPr>
        <i/>
        <sz val="10"/>
        <rFont val="AvantGarde Bk BT"/>
        <family val="0"/>
      </rPr>
      <t xml:space="preserve">Emission Calcs" </t>
    </r>
    <r>
      <rPr>
        <sz val="10"/>
        <rFont val="AvantGarde Bk BT"/>
        <family val="0"/>
      </rPr>
      <t>spreadsheet tab</t>
    </r>
    <r>
      <rPr>
        <i/>
        <sz val="10"/>
        <rFont val="AvantGarde Bk BT"/>
        <family val="0"/>
      </rPr>
      <t xml:space="preserve"> </t>
    </r>
    <r>
      <rPr>
        <sz val="10"/>
        <rFont val="AvantGarde Bk BT"/>
        <family val="2"/>
      </rPr>
      <t xml:space="preserve">and modify the pollutant headings as necessary.  </t>
    </r>
  </si>
  <si>
    <t>NOx (lb/mmBtu) annual average</t>
  </si>
  <si>
    <t>H2SO4 (lb/mmBtu)</t>
  </si>
  <si>
    <t>SO2 (oil, lb/hr)</t>
  </si>
  <si>
    <t>Filterable PM (lb/mmBtu)</t>
  </si>
  <si>
    <t>2018 Post-Construction</t>
  </si>
  <si>
    <t>H2SO4</t>
  </si>
  <si>
    <t>2017 Post-Construction</t>
  </si>
  <si>
    <t>PM</t>
  </si>
  <si>
    <t>Capacity Factor</t>
  </si>
  <si>
    <t>Capacity Factor (%)</t>
  </si>
  <si>
    <t>Pollutant</t>
  </si>
  <si>
    <t>VOC</t>
  </si>
  <si>
    <t>NOx</t>
  </si>
  <si>
    <t>CO</t>
  </si>
  <si>
    <t>PM10</t>
  </si>
  <si>
    <t>SO2</t>
  </si>
  <si>
    <t>Unit 1</t>
  </si>
  <si>
    <t>Unit 2</t>
  </si>
  <si>
    <t>Unit Design Information</t>
  </si>
  <si>
    <t>Design Gross Output (MW)</t>
  </si>
  <si>
    <t>Coal Heating Value (Btu/lb)</t>
  </si>
  <si>
    <t>HF (lb/hr)</t>
  </si>
  <si>
    <t>CO (lb/hr)</t>
  </si>
  <si>
    <t>CO (oil, lb/hr)</t>
  </si>
  <si>
    <t>VOC (lb/hr)</t>
  </si>
  <si>
    <t>VOC (oil, lb/hr)</t>
  </si>
  <si>
    <t>Lead (lb/hr)</t>
  </si>
  <si>
    <t>Unit</t>
  </si>
  <si>
    <t>Coal Burned (lbs/hr)</t>
  </si>
  <si>
    <t>2005 Pre-Construction</t>
  </si>
  <si>
    <t>Boiler Heat Input (mmBtu/yr)</t>
  </si>
  <si>
    <t>Notes</t>
  </si>
  <si>
    <t>2006 Pre-Construction</t>
  </si>
  <si>
    <t>HCl (lb/hr)</t>
  </si>
  <si>
    <t xml:space="preserve">Coal Data </t>
  </si>
  <si>
    <t>Sulfur Content (%)</t>
  </si>
  <si>
    <t>Salt River Project - Coronado Generating Station</t>
  </si>
  <si>
    <t>NOx (lb/hr)</t>
  </si>
  <si>
    <t>SO2 (lb/hr)</t>
  </si>
  <si>
    <t>SO2 (lb/mmBtu) Annual average</t>
  </si>
  <si>
    <t>H2SO4 (lb/hr)</t>
  </si>
  <si>
    <t>CGS December 2005 and 2006 Monthly Operating Reports</t>
  </si>
  <si>
    <t>Operating Hours (hr/yr)</t>
  </si>
  <si>
    <t>Coal Burned (tpy)</t>
  </si>
  <si>
    <t>Fourth Quarter EDR Reports for 2005 and 2006</t>
  </si>
  <si>
    <t>Filterable PM (lb/hr)</t>
  </si>
  <si>
    <t>Filterable PM10 (lb/hr)</t>
  </si>
  <si>
    <t>Filterable PM10 (lb/mmBtu)</t>
  </si>
  <si>
    <t>Total PM10 (lb/hr)</t>
  </si>
  <si>
    <t>Total PM10 (lb/mmBtu)</t>
  </si>
  <si>
    <t>Total PM10 (tpy)</t>
  </si>
  <si>
    <t>Filterable PM10 (tpy)</t>
  </si>
  <si>
    <t>Filterable PM (tpy)</t>
  </si>
  <si>
    <t>SO2 (tpy)</t>
  </si>
  <si>
    <t>NOx (tpy)</t>
  </si>
  <si>
    <t>HCl (lb/mmBtu)</t>
  </si>
  <si>
    <t>HF (lb/mmBtu)</t>
  </si>
  <si>
    <t>Material Balance</t>
  </si>
  <si>
    <t>CO (lb/ton)</t>
  </si>
  <si>
    <t>EPA AP-42 Emission Factor, Table 1.1-3</t>
  </si>
  <si>
    <t>HCl (tpy)</t>
  </si>
  <si>
    <t>HF (tpy)</t>
  </si>
  <si>
    <t>H2SO4 (tpy)</t>
  </si>
  <si>
    <t>CO (tpy)</t>
  </si>
  <si>
    <t>VOC (lb/ton)</t>
  </si>
  <si>
    <t>EPA AP-42 Emission Factor, Table 1.1-19</t>
  </si>
  <si>
    <t>VOC (tpy)</t>
  </si>
  <si>
    <t>Lead (lb/mmBtu)</t>
  </si>
  <si>
    <t>Lead (tpy)</t>
  </si>
  <si>
    <t>EPA AP-42 Emission Factor, Table 1.1-17</t>
  </si>
  <si>
    <t>Mercury (tpy)</t>
  </si>
  <si>
    <t>Mercury (lb/hr)</t>
  </si>
  <si>
    <t>Mercury (lb/mmBtu)</t>
  </si>
  <si>
    <t>Coal Emissions</t>
  </si>
  <si>
    <t>Oil Emissions</t>
  </si>
  <si>
    <t>NOx (oil, tpy)</t>
  </si>
  <si>
    <t>CO (oil, tpy)</t>
  </si>
  <si>
    <t>VOC (oil, tpy)</t>
  </si>
  <si>
    <t>SO2 (oil, tpy)</t>
  </si>
  <si>
    <t>PM (oil, tpy)</t>
  </si>
  <si>
    <t>PM (oil, lb/hr)</t>
  </si>
  <si>
    <t>NOx (oil, lb/1,000 gal)</t>
  </si>
  <si>
    <t>CO (oil, lb/1,000 gal)</t>
  </si>
  <si>
    <t>VOC (oil, lb/1,000 gal)</t>
  </si>
  <si>
    <t>SO2 (oil, lb/1,000 gal)</t>
  </si>
  <si>
    <t>PM (oil, lb/1,000 gal)</t>
  </si>
  <si>
    <t xml:space="preserve">(NOx (oil, tpy) x 2,000 lb/ton) / Operating Hours (hr/yr) </t>
  </si>
  <si>
    <t xml:space="preserve">(CO (oil, tpy) x 2,000 lb/ton) / Operating Hours (hr/yr) </t>
  </si>
  <si>
    <t xml:space="preserve">(VOC (oil, tpy) x 2,000 lb/ton) / Operating Hours (hr/yr) </t>
  </si>
  <si>
    <t xml:space="preserve">(SO2 (oil, tpy) x 2,000 lb/ton) / Operating Hours (hr/yr) </t>
  </si>
  <si>
    <t xml:space="preserve">(PM (oil, tpy) x 2,000 lb/ton) / Operating Hours (hr/yr) </t>
  </si>
  <si>
    <t>EPA AP-42 Emission Factor, Table 1.3-1</t>
  </si>
  <si>
    <t>EPA AP-42 Emission Factor, Table 1.3-3 (NMTOC)</t>
  </si>
  <si>
    <t>EPA AP-42 Emission Factor, Table 1.3-1 (157 x Fuel Oil Sulfur Content)</t>
  </si>
  <si>
    <t>EPA AP-42 Emission Factor, Tables 1.3-1 and 1.3-2</t>
  </si>
  <si>
    <t>Oil Burned (bbl/yr)</t>
  </si>
  <si>
    <t>Oil Burned (gal/yr)</t>
  </si>
  <si>
    <t>Oil Burned (bbl/yr) x 42 gal/bbl</t>
  </si>
  <si>
    <t>Oil Heating Value (Btu/gal)</t>
  </si>
  <si>
    <t>Oil Sulfur Content (%)</t>
  </si>
  <si>
    <t>Oil Data</t>
  </si>
  <si>
    <t>[NOx (oil, lb/1,000 gal) / 1,000)] x Oil Burned (gal/yr) x 1 ton / 2,000 lb</t>
  </si>
  <si>
    <t>[CO (oil, lb/1,000 gal) / 1,000)] x Oil Burned (gal/yr) x 1 ton / 2,000 lb</t>
  </si>
  <si>
    <t>[VOC (oil, lb/1,000 gal) / 1,000)] x Oil Burned (gal/yr) x 1 ton / 2,000 lb</t>
  </si>
  <si>
    <t>[SO2 (oil, lb/1,000 gal) / 1,000)] x Oil Burned (gal/yr) x 1 ton / 2,000 lb</t>
  </si>
  <si>
    <t>[PM (oil, lb/1,000 gal) / 1,000)] x Oil Burned (gal/yr) x 1 ton / 2,000 lb</t>
  </si>
  <si>
    <t>Fuel Oil Analyses (no sulfur content detected, so detection limit assumed)</t>
  </si>
  <si>
    <t>Engineering Assumption</t>
  </si>
  <si>
    <t>Assume 100% capacity factor</t>
  </si>
  <si>
    <t>Post-Construction</t>
  </si>
  <si>
    <t>SO3 Boiler Outlet (ppm)</t>
  </si>
  <si>
    <t>SO3 Boiler Outlet (lb/hr)</t>
  </si>
  <si>
    <t>SO2 Inlet (lb/mmBtu)</t>
  </si>
  <si>
    <t>SO3 SCR Inlet (lb/hr)</t>
  </si>
  <si>
    <t>SO3 SCR Inlet (ppm)</t>
  </si>
  <si>
    <t>SO3 SCR Outlet (lb/hr)</t>
  </si>
  <si>
    <t>SO3 SCR Outlet (ppm)</t>
  </si>
  <si>
    <t>SO3 Air Preheater Outlet (lb/hr)</t>
  </si>
  <si>
    <t>SO3 Air Preheater Outlet (ppm)</t>
  </si>
  <si>
    <t>SO3 FGD Inlet (lb/hr)</t>
  </si>
  <si>
    <t>SO3 FGD Inlet (ppm)</t>
  </si>
  <si>
    <t>SO3 FGD Outlet (lb/hr)</t>
  </si>
  <si>
    <t>SO3 FGD Outlet (ppm)</t>
  </si>
  <si>
    <t>-----</t>
  </si>
  <si>
    <t>Total H2SO4 Emissions with SCR</t>
  </si>
  <si>
    <t>Total H2SO4 Emissions without SCR</t>
  </si>
  <si>
    <t>H2SO4 without SCR (lb/hr)</t>
  </si>
  <si>
    <t>H2SO4 without SCR (tpy)</t>
  </si>
  <si>
    <t>H2SO4 without SCR (lb/mmBtu)</t>
  </si>
  <si>
    <t>H2SO4 with SCR (tpy)</t>
  </si>
  <si>
    <t>H2SO4 with SCR (lb/hr)</t>
  </si>
  <si>
    <t>H2SO4 with SCR (lb/mmBtu)</t>
  </si>
  <si>
    <t>SO3 Air Preheater Inlet (lb/hr)</t>
  </si>
  <si>
    <t>SO3 Air Preheater Inlet (ppm)</t>
  </si>
  <si>
    <t>H2SO4 Calculation Assumptions</t>
  </si>
  <si>
    <t>Molecular weight of SO3</t>
  </si>
  <si>
    <t>Molecular weight of SO2</t>
  </si>
  <si>
    <t>Factor used to convert from lb/mmBtu to ppmvd at 3 percent oxygen</t>
  </si>
  <si>
    <t>Conversion of SO2 to SO3 in the boiler - engineering assumption</t>
  </si>
  <si>
    <t>Reduction in SO3 emissions in the HESP - engineering assumption</t>
  </si>
  <si>
    <t>Reduction in SO3 emissions in the air preheater - engineering assumption</t>
  </si>
  <si>
    <t>Reduction in SO3 emissions in the FGD - engineering assumption</t>
  </si>
  <si>
    <t>Catalyst oxidation of SO2 to SO3 - engineering assumption</t>
  </si>
  <si>
    <t>Molecular weight of H2SO4</t>
  </si>
  <si>
    <t>Molecular weight of S</t>
  </si>
  <si>
    <t>[SO3 Air Preheater Inlet (ppm) / SO3 Boiler Outlet (ppm)] x SO3 Boiler Outlet (lb/hr)</t>
  </si>
  <si>
    <t>[H2SO4 without SCR (tpy) x (2,000 lb / ton)] / Operating Hours (hr/yr)</t>
  </si>
  <si>
    <t>[SO3 SCR Inlet (ppm) / SO3 Boiler Outlet (ppm)] x SO3 Boiler Outlet (lb/hr)</t>
  </si>
  <si>
    <t>Post-Construction Emissions (tpy) = Post-Project Emissions (tpy) x Capacity Factor (%)</t>
  </si>
  <si>
    <t>Baseline Actuals
(tpy)</t>
  </si>
  <si>
    <t>Representative Actual Annual Emissions (w/o adjustments)
(tpy)</t>
  </si>
  <si>
    <t xml:space="preserve">Adjustment Amount (tpy) </t>
  </si>
  <si>
    <t>Boilers Emissions Increase (tpy)</t>
  </si>
  <si>
    <t>Resource Planning Assumption</t>
  </si>
  <si>
    <t>Did not evaluate projections due to emissions decrease</t>
  </si>
  <si>
    <t>Representative Actual Annual Emissions (w/o adjustments) (tpy) = [2017 Post-Construction Emissions (tpy) + 2018 Post-Construction Emissions (tpy)] / 2</t>
  </si>
  <si>
    <t>Baseline Actuals (tpy) = [2005 Pre-Construction Emissions (tpy) + 2006 Pre-Construction Emissions (tpy)] / 2</t>
  </si>
  <si>
    <t>Adjustment Amount = Representative Actual Emissions with Demand Growth but without Project Increases (tpy) - Baseline Actuals (tpy)</t>
  </si>
  <si>
    <t>Boilers Emissions Increase (tpy) = Representative Actual Annual Emissions (w/o adjustments) (tpy) - Baseline Actuals (tpy) - Adjustment Amount (tpy)</t>
  </si>
  <si>
    <t>Representative Actual Emissions with Demand Growth but without Project Increases (tpy)</t>
  </si>
  <si>
    <t>Representative Actual Emissions with Demand Growth but without Project Increases (tpy) = [2017 Adjustment Projections (tpy) + 2018 Adjustment Projections (tpy)] / 2</t>
  </si>
  <si>
    <t>NOx (oil, lb/hr)</t>
  </si>
  <si>
    <t>Percentage of flue gas processed in scrubber (2005 and 2006 data from operating records)</t>
  </si>
  <si>
    <t>Maximum Boiler Heat Input (mmBtu/hr)</t>
  </si>
  <si>
    <t>[SO2 (tpy) x 2,000 lb/ton] / Boiler Heat Input (mmBtu/yr)</t>
  </si>
  <si>
    <t>Filterable PM (lb/mmBtu) x Maximum Boiler Heat Input (mmBtu/hr)</t>
  </si>
  <si>
    <t>SO2 (lb/mmBtu) x Maximum Boiler Heat Input (mmBtu/hr)</t>
  </si>
  <si>
    <t>NOx (lb/mmBtu) x Maximum Boiler Heat Input (mmBtu/hr)</t>
  </si>
  <si>
    <t>HCl (lb/mmBtu) x Maximum Boiler Heat Input (mmBtu/hr)</t>
  </si>
  <si>
    <t>[HCl (lb/mmBtu) x Boiler Heat Input (mmBtu/yr)] / 2,000 lb/ton</t>
  </si>
  <si>
    <t>HF (lb/mmBtu) x Maximum Boiler Heat Input (mmBtu/hr)</t>
  </si>
  <si>
    <t>[HF (lb/mmBtu) x Boiler Heat Input (mmBtu/yr)] / 2,000 lb/ton</t>
  </si>
  <si>
    <t>[CO (lb/ton) x Coal Burned (tpy)] / 2,000 lb/ton</t>
  </si>
  <si>
    <t>[VOC (lb/ton) x Coal Burned (tpy)] / 2,000 lb/ton</t>
  </si>
  <si>
    <t>VOC (lb/ton) x [Coal Burned (lb/hr) / 2,000 lb/ton]</t>
  </si>
  <si>
    <t>Lead (lb/mmBtu) x Maximum Boiler Heat Input (mmBtu/hr)</t>
  </si>
  <si>
    <t>[Lead (lb/mmBtu) x Boiler Heat Input (mmBtu/yr)] / 2,000 lb/ton</t>
  </si>
  <si>
    <t>[Mercury (lb/mmBtu) x Boiler Heat Input (mmBtu/yr)] / 2,000 lb/ton</t>
  </si>
  <si>
    <t>Mercury (lb/mmBtu) x Maximum Boiler Heat Input (mmBtu/hr)</t>
  </si>
  <si>
    <t>Pre-construction is maximum value from operating records; post-construction is maximum capacity</t>
  </si>
  <si>
    <t>Pre-construction is Fourth Quarter EDR Reports for 2005 and 2006; post-construction is maximum capacity</t>
  </si>
  <si>
    <t>Pre-construction is CGS December 2005 and 2006 Monthly Operating Reports; post-construction is engineering assumption</t>
  </si>
  <si>
    <t>Pre-construction is assumed equivalent to post-construction engineering assumption based on SRP coal analyses</t>
  </si>
  <si>
    <t>Engineering assumption based on EPRI studies</t>
  </si>
  <si>
    <t>Pre-construction is CGS December 2005 and 2006 Monthly Operating Reports; post-construction is maximum capacity</t>
  </si>
  <si>
    <t>Based on maximum capacity of unit</t>
  </si>
  <si>
    <t>Maximum Boiler Heat Input (mmBtu/hr) x Operating Hours (hr/yr)</t>
  </si>
  <si>
    <t>[NOx (lb/mmBtu) x Boiler Heat Input (mmBtu/yr)]/ 2,000 lb/ton</t>
  </si>
  <si>
    <t>[Filterable PM (lb/mmBtu) x Boiler Heat Input (mmBtu/yr)]/ 2,000 lb/ton</t>
  </si>
  <si>
    <t>Maximum value from operating records</t>
  </si>
  <si>
    <t xml:space="preserve">[Coal Burned (tpy) x 2,000 lb/ton] / Operating Hours (hr/yr) </t>
  </si>
  <si>
    <t>Baseline value is assumed equivalent to post-construction engineering assumption based on SRP coal analyses</t>
  </si>
  <si>
    <t xml:space="preserve">[SO2 (tpy) x 2,000 lb/ton] / Operating Hours (hr/yr) </t>
  </si>
  <si>
    <t>Assumed equivalent to post-construction proposed emission limit (conservative since current permit limit is 0.10 lb/mmBtu)</t>
  </si>
  <si>
    <t>[CO (lb/ton) x Coal Burned (lb/hr)] / 2,000 lb/ton</t>
  </si>
  <si>
    <t>Average Baseline Emission Factors</t>
  </si>
  <si>
    <t>Average emission factor from baseline emission calculations for 2005 and 2006</t>
  </si>
  <si>
    <t>Baseline Filterable PM (lb/mmBtu)</t>
  </si>
  <si>
    <t>Baseline Total PM10 (lb/mmBtu)</t>
  </si>
  <si>
    <t>Baseline H2SO4 (lb/mmBtu)</t>
  </si>
  <si>
    <t>Baseline CO (lb/ton)</t>
  </si>
  <si>
    <t>Baseline VOC (lb/ton)</t>
  </si>
  <si>
    <t>Baseline Total PM10 (lb/mmBtu) x Boiler Heat Input (mmBtu/yr) x (1 ton / 2,000 lb) x Capacity Factor (%)</t>
  </si>
  <si>
    <t>Baseline Filterable PM (lb/mmBtu) x Boiler Heat Input (mmBtu/yr) x (1 ton / 2,000 lb) x Capacity Factor (%)</t>
  </si>
  <si>
    <t>Baseline H2SO4 (lb/mmBtu) x Boiler Heat Input (mmBtu/yr) x (1 ton / 2,000 lb) x Capacity Factor (%)</t>
  </si>
  <si>
    <t>Baseline CO (lb/ton) x Coal Burned (tpy) x (1 ton / 2,000 lb) x Capacity Factor (%)</t>
  </si>
  <si>
    <t>Baseline VOC (lb/ton) x Coal Burned (tpy) x (1 ton / 2,000 lb) x Capacity Factor (%)</t>
  </si>
  <si>
    <t>Assume equivalent to filterable PM emissions</t>
  </si>
  <si>
    <t>Assumes average coal Hg content is 8.7 lb/Tbtu - 15% oxidation by boilers, 45% oxidation by scrubbers, and 35% flue gas bypasses scrubbers</t>
  </si>
  <si>
    <t>Baseline Mercury (lb/mmBtu)</t>
  </si>
  <si>
    <t>Baseline Mercury (lb/mmBtu) x Boiler Heat Input (mmBtu/yr) x (1 ton / 2,000 lb) x Capacity Factor (%)</t>
  </si>
  <si>
    <t>Mercury</t>
  </si>
  <si>
    <t xml:space="preserve">Source </t>
  </si>
  <si>
    <t>Description</t>
  </si>
  <si>
    <t>U
(mph)</t>
  </si>
  <si>
    <t>M
(%)</t>
  </si>
  <si>
    <t>PM EF</t>
  </si>
  <si>
    <t>Emission</t>
  </si>
  <si>
    <t>Control</t>
  </si>
  <si>
    <t>ID</t>
  </si>
  <si>
    <t>(tph)</t>
  </si>
  <si>
    <t>(tpy)</t>
  </si>
  <si>
    <t>(lb/ton)</t>
  </si>
  <si>
    <t>Control(s)</t>
  </si>
  <si>
    <t>Efficiency</t>
  </si>
  <si>
    <t>(lb/hr)</t>
  </si>
  <si>
    <t>(tons/yr)</t>
  </si>
  <si>
    <t>Coal Handling:</t>
  </si>
  <si>
    <t>011</t>
  </si>
  <si>
    <t>Unloading</t>
  </si>
  <si>
    <t>WS</t>
  </si>
  <si>
    <t>Crushers</t>
  </si>
  <si>
    <t>---</t>
  </si>
  <si>
    <t>DC</t>
  </si>
  <si>
    <t>BC-2A</t>
  </si>
  <si>
    <t>BC-3A</t>
  </si>
  <si>
    <t>BC-3B</t>
  </si>
  <si>
    <t>Fog</t>
  </si>
  <si>
    <t>BC-3C</t>
  </si>
  <si>
    <t>BC-4</t>
  </si>
  <si>
    <t>Stacker</t>
  </si>
  <si>
    <t>BC-5</t>
  </si>
  <si>
    <t>WS, DC</t>
  </si>
  <si>
    <t>BC-6</t>
  </si>
  <si>
    <t>BC-7A</t>
  </si>
  <si>
    <t>BC-7B</t>
  </si>
  <si>
    <t>BC-8A</t>
  </si>
  <si>
    <t>BC-8B</t>
  </si>
  <si>
    <t>BC-9A</t>
  </si>
  <si>
    <t>BC-9B</t>
  </si>
  <si>
    <t>BC-10A</t>
  </si>
  <si>
    <t>BC-10B</t>
  </si>
  <si>
    <t>Coal Silos</t>
  </si>
  <si>
    <t>DC, SC</t>
  </si>
  <si>
    <t>Limestone Handling:</t>
  </si>
  <si>
    <t>007</t>
  </si>
  <si>
    <t>Bucket Elevator - TP8</t>
  </si>
  <si>
    <t>Slide Gate Feeders</t>
  </si>
  <si>
    <t>--</t>
  </si>
  <si>
    <t>BC-102</t>
  </si>
  <si>
    <t>BC-103</t>
  </si>
  <si>
    <t>Fly Ash Handling:</t>
  </si>
  <si>
    <t>012</t>
  </si>
  <si>
    <t>Ash Loading</t>
  </si>
  <si>
    <t>Ash Unloading</t>
  </si>
  <si>
    <t>NOTES:</t>
  </si>
  <si>
    <t>2) Annual average wind speed of 8.8 mph based on Winslow data from NCDC.</t>
  </si>
  <si>
    <t>3) Emissions from crushers based on AP-42, Table 11.19.2-2 (8/04), using controlled emission factors.</t>
  </si>
  <si>
    <t>4) Assume PM10 emissions are 27% of PM, based on SRP Title V Renewal Calculations.</t>
  </si>
  <si>
    <t>5) TP = Transfer Point, WS = Wet Suppression. DC = Dust Collector; VBF = Vent Bag Filter; FS = Filter Separator; SC = Wet Scrubber..</t>
  </si>
  <si>
    <t>6) Fog control efficiency from fog vendor website.</t>
  </si>
  <si>
    <t>7) Controlled Emissions (lb/hr) = Throughput (ton/hr) x Emission Factor (lb/ton) x (100% - Control Efficiency)</t>
  </si>
  <si>
    <t>Unit 1 and Unit 2 - Emission Projections</t>
  </si>
  <si>
    <t>Unit 1 and Unit 2 - Projection Adjustments</t>
  </si>
  <si>
    <t>Unit 1 and Unit 2 - Baseline Actual Emissions</t>
  </si>
  <si>
    <t>Unit 1 and Unit 2 - Sulfuric Acid Mist Emissions</t>
  </si>
  <si>
    <t>Unit 1 and Unit 2 - Actual to Actual Emissions Increases</t>
  </si>
  <si>
    <t>Material Handling - Baseline Actual Emissions</t>
  </si>
  <si>
    <r>
      <t>C</t>
    </r>
    <r>
      <rPr>
        <vertAlign val="subscript"/>
        <sz val="9"/>
        <rFont val="Arial"/>
        <family val="2"/>
      </rPr>
      <t>B</t>
    </r>
    <r>
      <rPr>
        <sz val="9"/>
        <rFont val="Arial"/>
        <family val="2"/>
      </rPr>
      <t xml:space="preserve"> (%)</t>
    </r>
  </si>
  <si>
    <r>
      <t>MW</t>
    </r>
    <r>
      <rPr>
        <vertAlign val="subscript"/>
        <sz val="9"/>
        <rFont val="Arial"/>
        <family val="2"/>
      </rPr>
      <t>SO3</t>
    </r>
  </si>
  <si>
    <r>
      <t>MW</t>
    </r>
    <r>
      <rPr>
        <vertAlign val="subscript"/>
        <sz val="9"/>
        <rFont val="Arial"/>
        <family val="2"/>
      </rPr>
      <t>SO2</t>
    </r>
  </si>
  <si>
    <r>
      <t>MW</t>
    </r>
    <r>
      <rPr>
        <vertAlign val="subscript"/>
        <sz val="9"/>
        <rFont val="Arial"/>
        <family val="2"/>
      </rPr>
      <t>S</t>
    </r>
  </si>
  <si>
    <r>
      <t>C</t>
    </r>
    <r>
      <rPr>
        <vertAlign val="subscript"/>
        <sz val="9"/>
        <rFont val="Arial"/>
        <family val="2"/>
      </rPr>
      <t xml:space="preserve">F </t>
    </r>
  </si>
  <si>
    <r>
      <t>C</t>
    </r>
    <r>
      <rPr>
        <vertAlign val="subscript"/>
        <sz val="9"/>
        <rFont val="Arial"/>
        <family val="2"/>
      </rPr>
      <t>HESP</t>
    </r>
    <r>
      <rPr>
        <sz val="9"/>
        <rFont val="Arial"/>
        <family val="2"/>
      </rPr>
      <t xml:space="preserve"> (ppm)</t>
    </r>
  </si>
  <si>
    <r>
      <t>C</t>
    </r>
    <r>
      <rPr>
        <vertAlign val="subscript"/>
        <sz val="9"/>
        <rFont val="Arial"/>
        <family val="2"/>
      </rPr>
      <t>APH</t>
    </r>
    <r>
      <rPr>
        <sz val="9"/>
        <rFont val="Arial"/>
        <family val="2"/>
      </rPr>
      <t xml:space="preserve"> (%)</t>
    </r>
  </si>
  <si>
    <r>
      <t>C</t>
    </r>
    <r>
      <rPr>
        <vertAlign val="subscript"/>
        <sz val="9"/>
        <rFont val="Arial"/>
        <family val="2"/>
      </rPr>
      <t>FGD</t>
    </r>
    <r>
      <rPr>
        <sz val="9"/>
        <rFont val="Arial"/>
        <family val="2"/>
      </rPr>
      <t xml:space="preserve"> (%)</t>
    </r>
  </si>
  <si>
    <r>
      <t>C</t>
    </r>
    <r>
      <rPr>
        <vertAlign val="subscript"/>
        <sz val="9"/>
        <rFont val="Arial"/>
        <family val="2"/>
      </rPr>
      <t>C</t>
    </r>
    <r>
      <rPr>
        <sz val="9"/>
        <rFont val="Arial"/>
        <family val="2"/>
      </rPr>
      <t xml:space="preserve"> (%)</t>
    </r>
  </si>
  <si>
    <r>
      <t>MW</t>
    </r>
    <r>
      <rPr>
        <vertAlign val="subscript"/>
        <sz val="9"/>
        <rFont val="Arial"/>
        <family val="2"/>
      </rPr>
      <t>H2SO4</t>
    </r>
  </si>
  <si>
    <r>
      <t>FG</t>
    </r>
    <r>
      <rPr>
        <vertAlign val="subscript"/>
        <sz val="9"/>
        <rFont val="Arial"/>
        <family val="2"/>
      </rPr>
      <t xml:space="preserve">S </t>
    </r>
    <r>
      <rPr>
        <sz val="9"/>
        <rFont val="Arial"/>
        <family val="2"/>
      </rPr>
      <t>(%)</t>
    </r>
  </si>
  <si>
    <r>
      <t>[(Sulfur Content (%) / 100) x (MW</t>
    </r>
    <r>
      <rPr>
        <vertAlign val="subscript"/>
        <sz val="9"/>
        <rFont val="Arial"/>
        <family val="2"/>
      </rPr>
      <t>SO2</t>
    </r>
    <r>
      <rPr>
        <sz val="9"/>
        <rFont val="Arial"/>
        <family val="2"/>
      </rPr>
      <t xml:space="preserve"> / MW</t>
    </r>
    <r>
      <rPr>
        <vertAlign val="subscript"/>
        <sz val="9"/>
        <rFont val="Arial"/>
        <family val="2"/>
      </rPr>
      <t>S</t>
    </r>
    <r>
      <rPr>
        <sz val="9"/>
        <rFont val="Arial"/>
        <family val="2"/>
      </rPr>
      <t>) x 1,000,000 Btu/mmBtu] / Coal Heating Value (Btu/lb)</t>
    </r>
  </si>
  <si>
    <r>
      <t>Maximum Boiler Heat Input (mmBtu/hr) x SO2 Inlet (lb/mmBtu) x (C</t>
    </r>
    <r>
      <rPr>
        <vertAlign val="subscript"/>
        <sz val="9"/>
        <rFont val="Arial"/>
        <family val="2"/>
      </rPr>
      <t>B</t>
    </r>
    <r>
      <rPr>
        <sz val="9"/>
        <rFont val="Arial"/>
        <family val="2"/>
      </rPr>
      <t xml:space="preserve"> / 100) x (MW</t>
    </r>
    <r>
      <rPr>
        <vertAlign val="subscript"/>
        <sz val="9"/>
        <rFont val="Arial"/>
        <family val="2"/>
      </rPr>
      <t>SO3</t>
    </r>
    <r>
      <rPr>
        <sz val="9"/>
        <rFont val="Arial"/>
        <family val="2"/>
      </rPr>
      <t xml:space="preserve"> / MW</t>
    </r>
    <r>
      <rPr>
        <vertAlign val="subscript"/>
        <sz val="9"/>
        <rFont val="Arial"/>
        <family val="2"/>
      </rPr>
      <t>SO2</t>
    </r>
    <r>
      <rPr>
        <sz val="9"/>
        <rFont val="Arial"/>
        <family val="2"/>
      </rPr>
      <t>)</t>
    </r>
  </si>
  <si>
    <r>
      <t>SO2 Inlet (lb/mmBtu) x (C</t>
    </r>
    <r>
      <rPr>
        <vertAlign val="subscript"/>
        <sz val="9"/>
        <rFont val="Arial"/>
        <family val="2"/>
      </rPr>
      <t>B</t>
    </r>
    <r>
      <rPr>
        <sz val="9"/>
        <rFont val="Arial"/>
        <family val="2"/>
      </rPr>
      <t xml:space="preserve"> / 100) x C</t>
    </r>
    <r>
      <rPr>
        <vertAlign val="subscript"/>
        <sz val="9"/>
        <rFont val="Arial"/>
        <family val="2"/>
      </rPr>
      <t>F</t>
    </r>
  </si>
  <si>
    <r>
      <t>SO3 Boiler Outlet (ppm) - C</t>
    </r>
    <r>
      <rPr>
        <vertAlign val="subscript"/>
        <sz val="9"/>
        <rFont val="Arial"/>
        <family val="2"/>
      </rPr>
      <t>HESP</t>
    </r>
    <r>
      <rPr>
        <sz val="9"/>
        <rFont val="Arial"/>
        <family val="2"/>
      </rPr>
      <t xml:space="preserve"> (ppm)</t>
    </r>
  </si>
  <si>
    <r>
      <t>SO3 Air Preheater Inlet (lb/hr) x [1 - (C</t>
    </r>
    <r>
      <rPr>
        <vertAlign val="subscript"/>
        <sz val="9"/>
        <rFont val="Arial"/>
        <family val="2"/>
      </rPr>
      <t>APH</t>
    </r>
    <r>
      <rPr>
        <sz val="9"/>
        <rFont val="Arial"/>
        <family val="2"/>
      </rPr>
      <t xml:space="preserve"> / 100)]</t>
    </r>
  </si>
  <si>
    <r>
      <t>SO3 Air Preheater Inlet (ppm) x [1 - (C</t>
    </r>
    <r>
      <rPr>
        <vertAlign val="subscript"/>
        <sz val="9"/>
        <rFont val="Arial"/>
        <family val="2"/>
      </rPr>
      <t>APH</t>
    </r>
    <r>
      <rPr>
        <sz val="9"/>
        <rFont val="Arial"/>
        <family val="2"/>
      </rPr>
      <t xml:space="preserve"> / 100)]</t>
    </r>
  </si>
  <si>
    <r>
      <t>[(1-(FG</t>
    </r>
    <r>
      <rPr>
        <vertAlign val="subscript"/>
        <sz val="9"/>
        <rFont val="Arial"/>
        <family val="2"/>
      </rPr>
      <t>S</t>
    </r>
    <r>
      <rPr>
        <sz val="9"/>
        <rFont val="Arial"/>
        <family val="2"/>
      </rPr>
      <t>/100)) x SO3 FGD Inlet (lb/hr)] + [(FG</t>
    </r>
    <r>
      <rPr>
        <vertAlign val="subscript"/>
        <sz val="9"/>
        <rFont val="Arial"/>
        <family val="2"/>
      </rPr>
      <t>S</t>
    </r>
    <r>
      <rPr>
        <sz val="9"/>
        <rFont val="Arial"/>
        <family val="2"/>
      </rPr>
      <t>/100) x SO3 FGD Inlet (lb/hr) x [1 - (C</t>
    </r>
    <r>
      <rPr>
        <vertAlign val="subscript"/>
        <sz val="9"/>
        <rFont val="Arial"/>
        <family val="2"/>
      </rPr>
      <t>FGD</t>
    </r>
    <r>
      <rPr>
        <sz val="9"/>
        <rFont val="Arial"/>
        <family val="2"/>
      </rPr>
      <t xml:space="preserve"> / 100)]]</t>
    </r>
  </si>
  <si>
    <r>
      <t>[(1-(FG</t>
    </r>
    <r>
      <rPr>
        <vertAlign val="subscript"/>
        <sz val="9"/>
        <rFont val="Arial"/>
        <family val="2"/>
      </rPr>
      <t>S</t>
    </r>
    <r>
      <rPr>
        <sz val="9"/>
        <rFont val="Arial"/>
        <family val="2"/>
      </rPr>
      <t>/100)) x SO3 FGD Inlet (ppm)] + [(FG</t>
    </r>
    <r>
      <rPr>
        <vertAlign val="subscript"/>
        <sz val="9"/>
        <rFont val="Arial"/>
        <family val="2"/>
      </rPr>
      <t>S</t>
    </r>
    <r>
      <rPr>
        <sz val="9"/>
        <rFont val="Arial"/>
        <family val="2"/>
      </rPr>
      <t>/100) x SO3 FGD Inlet (ppm) x [1 - (C</t>
    </r>
    <r>
      <rPr>
        <vertAlign val="subscript"/>
        <sz val="9"/>
        <rFont val="Arial"/>
        <family val="2"/>
      </rPr>
      <t>FGD</t>
    </r>
    <r>
      <rPr>
        <sz val="9"/>
        <rFont val="Arial"/>
        <family val="2"/>
      </rPr>
      <t xml:space="preserve"> / 100)]]</t>
    </r>
  </si>
  <si>
    <r>
      <t>SO3 FGD Outlet (lb/hr) x (MW</t>
    </r>
    <r>
      <rPr>
        <vertAlign val="subscript"/>
        <sz val="9"/>
        <rFont val="Arial"/>
        <family val="2"/>
      </rPr>
      <t>H2SO4</t>
    </r>
    <r>
      <rPr>
        <sz val="9"/>
        <rFont val="Arial"/>
        <family val="2"/>
      </rPr>
      <t xml:space="preserve"> / MW</t>
    </r>
    <r>
      <rPr>
        <vertAlign val="subscript"/>
        <sz val="9"/>
        <rFont val="Arial"/>
        <family val="2"/>
      </rPr>
      <t>SO3</t>
    </r>
    <r>
      <rPr>
        <sz val="9"/>
        <rFont val="Arial"/>
        <family val="2"/>
      </rPr>
      <t>) x Operating Hours (hr/yr) x (Capacity Factor (%) / 100) x (1 ton / 2,000 lb)</t>
    </r>
  </si>
  <si>
    <r>
      <t>[SO2 FGD Outlet (lb/hr) x (MW</t>
    </r>
    <r>
      <rPr>
        <vertAlign val="subscript"/>
        <sz val="9"/>
        <rFont val="Arial"/>
        <family val="2"/>
      </rPr>
      <t>H2SO4</t>
    </r>
    <r>
      <rPr>
        <sz val="9"/>
        <rFont val="Arial"/>
        <family val="2"/>
      </rPr>
      <t xml:space="preserve"> / MW</t>
    </r>
    <r>
      <rPr>
        <vertAlign val="subscript"/>
        <sz val="9"/>
        <rFont val="Arial"/>
        <family val="2"/>
      </rPr>
      <t>SO3</t>
    </r>
    <r>
      <rPr>
        <sz val="9"/>
        <rFont val="Arial"/>
        <family val="2"/>
      </rPr>
      <t>)] / Maximum Boiler Heat Input (mmBtu/hr)</t>
    </r>
  </si>
  <si>
    <r>
      <t>SO3 SCR Inlet (lb/hr) + [SO2 Inlet (lb/mmBtu) x (C</t>
    </r>
    <r>
      <rPr>
        <vertAlign val="subscript"/>
        <sz val="9"/>
        <rFont val="Arial"/>
        <family val="2"/>
      </rPr>
      <t>C</t>
    </r>
    <r>
      <rPr>
        <sz val="9"/>
        <rFont val="Arial"/>
        <family val="2"/>
      </rPr>
      <t xml:space="preserve"> / 100) x Boiler Heat Input (lb/hr) x (MW</t>
    </r>
    <r>
      <rPr>
        <vertAlign val="subscript"/>
        <sz val="9"/>
        <rFont val="Arial"/>
        <family val="2"/>
      </rPr>
      <t>SO3</t>
    </r>
    <r>
      <rPr>
        <sz val="9"/>
        <rFont val="Arial"/>
        <family val="2"/>
      </rPr>
      <t xml:space="preserve"> / MW</t>
    </r>
    <r>
      <rPr>
        <vertAlign val="subscript"/>
        <sz val="9"/>
        <rFont val="Arial"/>
        <family val="2"/>
      </rPr>
      <t>SO2</t>
    </r>
    <r>
      <rPr>
        <sz val="9"/>
        <rFont val="Arial"/>
        <family val="2"/>
      </rPr>
      <t>)]</t>
    </r>
  </si>
  <si>
    <r>
      <t>SO3 SCR Inlet (ppm) + [SO2 Inlet (lb/mmBtu) x (C</t>
    </r>
    <r>
      <rPr>
        <vertAlign val="subscript"/>
        <sz val="9"/>
        <rFont val="Arial"/>
        <family val="2"/>
      </rPr>
      <t>C</t>
    </r>
    <r>
      <rPr>
        <sz val="9"/>
        <rFont val="Arial"/>
        <family val="2"/>
      </rPr>
      <t xml:space="preserve"> / 100) x C</t>
    </r>
    <r>
      <rPr>
        <vertAlign val="subscript"/>
        <sz val="9"/>
        <rFont val="Arial"/>
        <family val="2"/>
      </rPr>
      <t>F</t>
    </r>
    <r>
      <rPr>
        <sz val="9"/>
        <rFont val="Arial"/>
        <family val="2"/>
      </rPr>
      <t>]</t>
    </r>
  </si>
  <si>
    <r>
      <t>SO3 SCR Outlet (lb/hr) x [1 - (C</t>
    </r>
    <r>
      <rPr>
        <vertAlign val="subscript"/>
        <sz val="9"/>
        <rFont val="Arial"/>
        <family val="2"/>
      </rPr>
      <t>APH</t>
    </r>
    <r>
      <rPr>
        <sz val="9"/>
        <rFont val="Arial"/>
        <family val="2"/>
      </rPr>
      <t xml:space="preserve"> / 100)]</t>
    </r>
  </si>
  <si>
    <r>
      <t>SO3 SCR Outlet (ppm) x [1 - (C</t>
    </r>
    <r>
      <rPr>
        <vertAlign val="subscript"/>
        <sz val="9"/>
        <rFont val="Arial"/>
        <family val="2"/>
      </rPr>
      <t>APH</t>
    </r>
    <r>
      <rPr>
        <sz val="9"/>
        <rFont val="Arial"/>
        <family val="2"/>
      </rPr>
      <t xml:space="preserve"> / 100)]</t>
    </r>
  </si>
  <si>
    <r>
      <t>SO3 FGD Inlet (lb/hr) x [1 - (C</t>
    </r>
    <r>
      <rPr>
        <vertAlign val="subscript"/>
        <sz val="9"/>
        <rFont val="Arial"/>
        <family val="2"/>
      </rPr>
      <t>FGD</t>
    </r>
    <r>
      <rPr>
        <sz val="9"/>
        <rFont val="Arial"/>
        <family val="2"/>
      </rPr>
      <t xml:space="preserve"> / 100)]</t>
    </r>
  </si>
  <si>
    <r>
      <t>SO3 FGD Inlet (ppm) x [1 - (C</t>
    </r>
    <r>
      <rPr>
        <vertAlign val="subscript"/>
        <sz val="9"/>
        <rFont val="Arial"/>
        <family val="2"/>
      </rPr>
      <t>FGD</t>
    </r>
    <r>
      <rPr>
        <sz val="9"/>
        <rFont val="Arial"/>
        <family val="2"/>
      </rPr>
      <t xml:space="preserve"> / 100)]</t>
    </r>
  </si>
  <si>
    <r>
      <t>PM</t>
    </r>
    <r>
      <rPr>
        <b/>
        <vertAlign val="subscript"/>
        <sz val="9"/>
        <rFont val="Arial"/>
        <family val="2"/>
      </rPr>
      <t>10</t>
    </r>
    <r>
      <rPr>
        <b/>
        <sz val="9"/>
        <rFont val="Arial"/>
        <family val="2"/>
      </rPr>
      <t xml:space="preserve"> EF
(lb/ton)</t>
    </r>
  </si>
  <si>
    <r>
      <t>PM</t>
    </r>
    <r>
      <rPr>
        <b/>
        <vertAlign val="subscript"/>
        <sz val="9"/>
        <rFont val="Arial"/>
        <family val="2"/>
      </rPr>
      <t>10</t>
    </r>
    <r>
      <rPr>
        <b/>
        <sz val="9"/>
        <rFont val="Arial"/>
        <family val="2"/>
      </rPr>
      <t xml:space="preserve"> Emissions</t>
    </r>
  </si>
  <si>
    <t>PM Emissions</t>
  </si>
  <si>
    <t xml:space="preserve">1) Emissions from transfer points based on AP-42, Equation (1) and Table 13.2.4.1 (11/06).  </t>
  </si>
  <si>
    <t>Estimated Projected Particulate Matter Emissions from Material Handling Operations</t>
  </si>
  <si>
    <t>Max Throughput</t>
  </si>
  <si>
    <t>TOTAL</t>
  </si>
  <si>
    <t>2002 Capacity Factor:</t>
  </si>
  <si>
    <t>2003 Capacity Factor:</t>
  </si>
  <si>
    <t>2004 Capacity Factor:</t>
  </si>
  <si>
    <t>2005 Capacity Factor:</t>
  </si>
  <si>
    <t>2006 Capacity Factor:</t>
  </si>
  <si>
    <t>2002 Throughput</t>
  </si>
  <si>
    <t>2003 Throughput</t>
  </si>
  <si>
    <t>2004 Throughput</t>
  </si>
  <si>
    <t>2005 Throughput</t>
  </si>
  <si>
    <t>2006 Throughput</t>
  </si>
  <si>
    <t>8) Annual capacity factors are an average of the annual capacity factors for Units 1 and 2.</t>
  </si>
  <si>
    <t>Source ID</t>
  </si>
  <si>
    <t>Emission Point</t>
  </si>
  <si>
    <t>Flow Rate
(acfm)</t>
  </si>
  <si>
    <t>EF
(gr/acf)</t>
  </si>
  <si>
    <t>Emissions</t>
  </si>
  <si>
    <t>Device</t>
  </si>
  <si>
    <t>DC-2</t>
  </si>
  <si>
    <t>Coal Crusher House</t>
  </si>
  <si>
    <t>Baghouse</t>
  </si>
  <si>
    <t>DC-3</t>
  </si>
  <si>
    <t>Coal Transfer Area U1</t>
  </si>
  <si>
    <t>DC-4</t>
  </si>
  <si>
    <t>Coal Transfer Area U2</t>
  </si>
  <si>
    <t>DC-5A</t>
  </si>
  <si>
    <t>Coal Silo 1</t>
  </si>
  <si>
    <t>DC-5B</t>
  </si>
  <si>
    <t>Coal Silo 2</t>
  </si>
  <si>
    <t>DC-5C</t>
  </si>
  <si>
    <t>Coal Silo 3</t>
  </si>
  <si>
    <t>DC-5D</t>
  </si>
  <si>
    <t>Coal Silo 4</t>
  </si>
  <si>
    <t>Wet Scrubbing</t>
  </si>
  <si>
    <t>DC-5E</t>
  </si>
  <si>
    <t>Coal Silo 5</t>
  </si>
  <si>
    <t>DC-5F</t>
  </si>
  <si>
    <t>Coal Silo 6</t>
  </si>
  <si>
    <t>DC-6</t>
  </si>
  <si>
    <t>Coal Sample Building Ext.</t>
  </si>
  <si>
    <t>DC-7A</t>
  </si>
  <si>
    <t>Fly Ash Bin Vent 1</t>
  </si>
  <si>
    <t>DC-7B</t>
  </si>
  <si>
    <t>Fly Ash Bin Vent 2</t>
  </si>
  <si>
    <t>DC-8</t>
  </si>
  <si>
    <t>Fly Ash Receiving Silos</t>
  </si>
  <si>
    <t>DC-9</t>
  </si>
  <si>
    <t>Limestone Ball Mill</t>
  </si>
  <si>
    <t>DC-10</t>
  </si>
  <si>
    <t>Soda Ash</t>
  </si>
  <si>
    <t>DC-11</t>
  </si>
  <si>
    <t>Lime</t>
  </si>
  <si>
    <t>Notes:</t>
  </si>
  <si>
    <t>1) Emission factors based on manufacturers' data.</t>
  </si>
  <si>
    <t>3) Emission Rates determined by:   Emissions (lb/hr) = flow rate (acfm) x emission factor (gr/acf) x (lb/7000 grain) x (hr/60 min)</t>
  </si>
  <si>
    <t>4) DC-5D,E, and F have been changed from baghouses to wet scrubbing devices.</t>
  </si>
  <si>
    <t>5) Annual capacity factors are an average of the annual capacity factors for Units 1 and 2.</t>
  </si>
  <si>
    <r>
      <t>Estimated PM</t>
    </r>
    <r>
      <rPr>
        <b/>
        <vertAlign val="subscript"/>
        <sz val="9"/>
        <rFont val="Arial"/>
        <family val="2"/>
      </rPr>
      <t>10</t>
    </r>
    <r>
      <rPr>
        <b/>
        <sz val="9"/>
        <rFont val="Arial"/>
        <family val="2"/>
      </rPr>
      <t xml:space="preserve"> Emissions from Material Handling Control Devices</t>
    </r>
  </si>
  <si>
    <t>Material Handling Point Sources - Baseline Actual Emissions</t>
  </si>
  <si>
    <t>Material Handling - Actual to Actual Emissions Increases</t>
  </si>
  <si>
    <t>PSD Pollutant</t>
  </si>
  <si>
    <r>
      <t>PM</t>
    </r>
    <r>
      <rPr>
        <vertAlign val="subscript"/>
        <sz val="9"/>
        <rFont val="Arial"/>
        <family val="2"/>
      </rPr>
      <t>10</t>
    </r>
  </si>
  <si>
    <t>1) Baseline actual material handling emissions comprise point source and fugitive emissions from</t>
  </si>
  <si>
    <t xml:space="preserve">     coal handling, limestone handling, and fly ash handling.</t>
  </si>
  <si>
    <t xml:space="preserve">    coal handling, limestone handling, fly ash handling, and bottom ash handling.</t>
  </si>
  <si>
    <t xml:space="preserve">Representative Actual Emissions with Demand Growth but without Project Increases (tpy) = Baseline Actuals (tpy) x </t>
  </si>
  <si>
    <t xml:space="preserve">                                        [Boiler Actual to Actual Representative Actual Annual Emis without Demand Growth / Boiler Actual to Actual Representative Actual Annual Emis w/o Adjustments]</t>
  </si>
  <si>
    <t>Emissions Increase (tpy) = Representative Actual Annual Emissions (w/o adjustments) (tpy) - Baseline Actuals (tpy) - Adjustment Amount (tpy)</t>
  </si>
  <si>
    <t>Haul Road Description</t>
  </si>
  <si>
    <t>Vehicle</t>
  </si>
  <si>
    <t>Rate
(VMT/yr)</t>
  </si>
  <si>
    <t>s
(%)</t>
  </si>
  <si>
    <t>S
(mph)</t>
  </si>
  <si>
    <t>W
(tons)</t>
  </si>
  <si>
    <t>P
(# of days)</t>
  </si>
  <si>
    <t>Control
(%)</t>
  </si>
  <si>
    <t>PM Emissions
(tons/yr)</t>
  </si>
  <si>
    <t>010</t>
  </si>
  <si>
    <t>Fly Ash Disposal</t>
  </si>
  <si>
    <t>Haul Truck</t>
  </si>
  <si>
    <t>Bottom Ash Disposal</t>
  </si>
  <si>
    <t>Limestone Delivery</t>
  </si>
  <si>
    <t>Dump Truck</t>
  </si>
  <si>
    <t>Rate
(hrs/yr)</t>
  </si>
  <si>
    <t>Coal Moving</t>
  </si>
  <si>
    <t>Bulldozers</t>
  </si>
  <si>
    <t>1)  Truck emissions based on AP-42, equation (1a), with constants from Table 13.2.2-2 and 13.2.2-3 (11/06).</t>
  </si>
  <si>
    <t>2)  Number of days of precipitation for truck emissions based on AP-42, Figure 13.2.2-1 (11/06)</t>
  </si>
  <si>
    <t xml:space="preserve">      and equation 13.2.2-7 (11/06).</t>
  </si>
  <si>
    <t>3)  Bulldozer emissions based on AP-42, Table 11.9-1 (bulldozing coal), (&lt;15um) (10/98).</t>
  </si>
  <si>
    <t>4)  Vehicle weight is average of empty and full vehicle weights.</t>
  </si>
  <si>
    <t>5)  Emissions from water trucks, service vehicles, employee vehicles, and other small truck traffic is trivial.</t>
  </si>
  <si>
    <t>6) Control system using water spray.</t>
  </si>
  <si>
    <t>7) Vehicle miles traveled estimated from SRP Haul Path Drawings, File Nos. CSK-TR-1 through CSK-TR-6.</t>
  </si>
  <si>
    <t>8) VMT = Vehicle Miles Traveled; S = Speed; W = Mean Vehicle Weight; M = Moisture Content; P=Number of days with measurable precipitation</t>
  </si>
  <si>
    <t>9) Control efficiencies from Reasonably Available Control Measures for Fugitive Dust, Section 2.1 General Fugitive Dust Emission Sources.  Environmental Protection Agency, Ohio</t>
  </si>
  <si>
    <t>10) Annual capacity factors are an average of the annual capacity factors for Units 1 and 2.</t>
  </si>
  <si>
    <t>11) Bottom ash and fly ash disposal emissions estimated assuming each of the large, medium</t>
  </si>
  <si>
    <t xml:space="preserve">     and small haul trucks makes 1/3 of the total trips.</t>
  </si>
  <si>
    <t xml:space="preserve">12) VMT calculated using total vehicle miles and weight fraction of bottom and fly ash hauled. Total ash hauled consists of 38.5% fly ash and 61.5 % bottom ash. </t>
  </si>
  <si>
    <t>13) Limestone truck VMT based on total of 30,000 tpy of limestone usage and 16 ton per truck delivered per trip.</t>
  </si>
  <si>
    <t>Estimated PM Emissions from Vehicular Traffic and Off-Road Machinery</t>
  </si>
  <si>
    <r>
      <t>PM</t>
    </r>
    <r>
      <rPr>
        <b/>
        <vertAlign val="subscript"/>
        <sz val="9"/>
        <rFont val="Arial"/>
        <family val="2"/>
      </rPr>
      <t>10</t>
    </r>
    <r>
      <rPr>
        <b/>
        <sz val="9"/>
        <rFont val="Arial"/>
        <family val="2"/>
      </rPr>
      <t xml:space="preserve"> EF
(lb/VMT)</t>
    </r>
  </si>
  <si>
    <t>PM EF
(lb/VMT)</t>
  </si>
  <si>
    <r>
      <t>PM</t>
    </r>
    <r>
      <rPr>
        <b/>
        <vertAlign val="subscript"/>
        <sz val="9"/>
        <rFont val="Arial"/>
        <family val="2"/>
      </rPr>
      <t>10</t>
    </r>
    <r>
      <rPr>
        <b/>
        <sz val="9"/>
        <rFont val="Arial"/>
        <family val="2"/>
      </rPr>
      <t xml:space="preserve"> Emissions
(tons/yr)</t>
    </r>
  </si>
  <si>
    <r>
      <t>PM</t>
    </r>
    <r>
      <rPr>
        <b/>
        <vertAlign val="subscript"/>
        <sz val="9"/>
        <rFont val="Arial"/>
        <family val="2"/>
      </rPr>
      <t>10</t>
    </r>
    <r>
      <rPr>
        <b/>
        <sz val="9"/>
        <rFont val="Arial"/>
        <family val="2"/>
      </rPr>
      <t xml:space="preserve"> EF
(lb/hr)</t>
    </r>
  </si>
  <si>
    <t>PM EF
(lb/hr)</t>
  </si>
  <si>
    <t>Hauling - Baseline Actual Emissions</t>
  </si>
  <si>
    <t>Hauling - Actual to Actual Emissions Increases</t>
  </si>
  <si>
    <t>Baseline Actuals
(tons/yr)</t>
  </si>
  <si>
    <t>Representative Actual Annual Emissions (w/o adjustments)
(tons/yr)</t>
  </si>
  <si>
    <t>Representative Actual Emissions with Demand Growth but without Project Increases (tons/yr)</t>
  </si>
  <si>
    <t>Adjustment Amount (demand growth) (tons/yr)</t>
  </si>
  <si>
    <t>Representative Actual Annual Emissions without Demand Growth 
(tons/yr)</t>
  </si>
  <si>
    <t xml:space="preserve"> Emissions Increase (tons/yr)</t>
  </si>
  <si>
    <t xml:space="preserve">Baseline Actuals (tpy) = [(2005 Material Handling Baseline Actual Emissions (tpy) + 2006 Material Handling Baseline Actual Emissions (tpy)) / 2] + </t>
  </si>
  <si>
    <t xml:space="preserve">                                        [(2005 Material Handling Point Source Baseline Actual Emissions (tpy) + 2006 Material Handling Point Source Baseline Actual Emissions (tpy)) / 2]</t>
  </si>
  <si>
    <t xml:space="preserve">Representative Actual Annual Emissions (w/o adjustments) (tpy) = [(2017 Material Handling Projected Actual Emissions (tpy) + 2018 Material Handling Projected Actual Emissions (tpy)) / 2] + </t>
  </si>
  <si>
    <t xml:space="preserve">                                         [(2017 Material Handling Point Source Projected Actual Emissions (tpy) + 2018 Material Handling Point Source Projected Actual Emissions (tpy)) / 2]</t>
  </si>
  <si>
    <t>Condensable PM10 (tpy)</t>
  </si>
  <si>
    <t>[Condensable PM10 (lb/mmBtu) x Boiler Heat Input (mmBtu/yr)]/ 2,000 lb/ton</t>
  </si>
  <si>
    <t>Condensable PM10 (lb/hr)</t>
  </si>
  <si>
    <t>Condensable PM10 (lb/mmBtu) x Maximum Boiler Heat Input (mmBtu/hr)</t>
  </si>
  <si>
    <t>Condensable PM10 (lb/mmBtu)</t>
  </si>
  <si>
    <t>H2SO4 (lb/mmBtu) + 0.005 lb/mmBtu (conservatively assumed remaining condensable would be equivalent to H2SO4 emissions at full capacity)</t>
  </si>
  <si>
    <t>Filterable PM10 (tpy) + Condensable PM10 (tpy)</t>
  </si>
  <si>
    <t>Filterable PM10 (lb/hr) + Condensable PM10 (lb/hr)</t>
  </si>
  <si>
    <t>Filterable PM10 (lb/mmBtu) + Condensable PM10 (lb/mmBtu)</t>
  </si>
  <si>
    <t>2) DC = Dust Collector; VBF = Vent Bag Filter; FS = Filter Separator.</t>
  </si>
  <si>
    <t>2) Representative actual emissions comprise point source and fugitive emissions from</t>
  </si>
  <si>
    <t>Baseline Actuals (tpy) = (2005 Hauling Baseline Actual Emissions (tpy) + 2006 Hauling Baseline Actual Emissions (tpy)) / 2</t>
  </si>
  <si>
    <t>Representative Actual Annual Emissions (w/o adjustments) (tpy) = (2017 Hauling Projected Actual Emissions (tpy) + 2018 Hauling Projected Actual Emissions (tpy)) / 2</t>
  </si>
  <si>
    <t>Table D-1</t>
  </si>
  <si>
    <t>Table D-3</t>
  </si>
  <si>
    <t>Table D-4</t>
  </si>
  <si>
    <t>Table D-5</t>
  </si>
  <si>
    <t>Table D-6</t>
  </si>
  <si>
    <t>Table D-7</t>
  </si>
  <si>
    <t>Table D-8</t>
  </si>
  <si>
    <t>Table D-11</t>
  </si>
  <si>
    <t>Table D-12</t>
  </si>
  <si>
    <t>Table D-14</t>
  </si>
  <si>
    <t>Units</t>
  </si>
  <si>
    <t>EF</t>
  </si>
  <si>
    <t>EF (Units)</t>
  </si>
  <si>
    <t>EF Inputs</t>
  </si>
  <si>
    <t>Emission ID</t>
  </si>
  <si>
    <t>Parameter</t>
  </si>
  <si>
    <t>EF Equation</t>
  </si>
  <si>
    <t>Emission Factor</t>
  </si>
  <si>
    <t>Emission Factor Units</t>
  </si>
  <si>
    <t>EXAMPLE</t>
  </si>
  <si>
    <t>Emergency Generator</t>
  </si>
  <si>
    <t>GEN01</t>
  </si>
  <si>
    <t>Input the efficiency of the control device</t>
  </si>
  <si>
    <t>List the emission factor for each pollutant</t>
  </si>
  <si>
    <t>List the units of the emission factors</t>
  </si>
  <si>
    <t>Emissions ID</t>
  </si>
  <si>
    <t>Pollutants</t>
  </si>
  <si>
    <t>Value</t>
  </si>
  <si>
    <t>References/Comments</t>
  </si>
  <si>
    <t>Process #5</t>
  </si>
  <si>
    <t>lb/ton</t>
  </si>
  <si>
    <t>EF = k*0.0032*(((U/5)^1.3)/((M/2)^1.4))</t>
  </si>
  <si>
    <t>U = 6.4 mph</t>
  </si>
  <si>
    <t>M = 5.3%</t>
  </si>
  <si>
    <t>Moisture content: facility ore assay lab</t>
  </si>
  <si>
    <t>AP42 13.2.4 Equation 1 (11/06)</t>
  </si>
  <si>
    <t>PM: k = 0.74 (dimensionless)</t>
  </si>
  <si>
    <r>
      <t>PM</t>
    </r>
    <r>
      <rPr>
        <vertAlign val="subscript"/>
        <sz val="10"/>
        <rFont val="AvantGarde Bk BT"/>
        <family val="0"/>
      </rPr>
      <t>10</t>
    </r>
    <r>
      <rPr>
        <sz val="10"/>
        <rFont val="AvantGarde Bk BT"/>
        <family val="2"/>
      </rPr>
      <t>: k = 0.35 (dimensionless)</t>
    </r>
  </si>
  <si>
    <r>
      <t>PM</t>
    </r>
    <r>
      <rPr>
        <vertAlign val="subscript"/>
        <sz val="10"/>
        <rFont val="AvantGarde Bk BT"/>
        <family val="0"/>
      </rPr>
      <t>2.5</t>
    </r>
    <r>
      <rPr>
        <sz val="10"/>
        <rFont val="AvantGarde Bk BT"/>
        <family val="2"/>
      </rPr>
      <t xml:space="preserve"> k = 0.053 (dimensionless)</t>
    </r>
  </si>
  <si>
    <r>
      <t>PM</t>
    </r>
    <r>
      <rPr>
        <vertAlign val="subscript"/>
        <sz val="10"/>
        <rFont val="AvantGarde Bk BT"/>
        <family val="0"/>
      </rPr>
      <t>10</t>
    </r>
  </si>
  <si>
    <r>
      <t>PM</t>
    </r>
    <r>
      <rPr>
        <vertAlign val="subscript"/>
        <sz val="10"/>
        <rFont val="AvantGarde Bk BT"/>
        <family val="0"/>
      </rPr>
      <t>2.5</t>
    </r>
  </si>
  <si>
    <t>PM     =  8.34E-04</t>
  </si>
  <si>
    <r>
      <t>PM</t>
    </r>
    <r>
      <rPr>
        <vertAlign val="subscript"/>
        <sz val="10"/>
        <rFont val="AvantGarde Bk BT"/>
        <family val="0"/>
      </rPr>
      <t>10</t>
    </r>
    <r>
      <rPr>
        <sz val="10"/>
        <rFont val="AvantGarde Bk BT"/>
        <family val="0"/>
      </rPr>
      <t xml:space="preserve">   =  3.94E-04</t>
    </r>
  </si>
  <si>
    <r>
      <t>PM</t>
    </r>
    <r>
      <rPr>
        <vertAlign val="subscript"/>
        <sz val="10"/>
        <rFont val="AvantGarde Bk BT"/>
        <family val="0"/>
      </rPr>
      <t>2.5</t>
    </r>
    <r>
      <rPr>
        <sz val="10"/>
        <rFont val="AvantGarde Bk BT"/>
        <family val="0"/>
      </rPr>
      <t xml:space="preserve">  =  5.97E-05</t>
    </r>
  </si>
  <si>
    <r>
      <t xml:space="preserve">Wind speed: WRCC* annual average for Flagstaff, 1986-2011
* </t>
    </r>
    <r>
      <rPr>
        <u val="single"/>
        <sz val="10"/>
        <color indexed="12"/>
        <rFont val="AvantGarde Bk BT"/>
        <family val="0"/>
      </rPr>
      <t>http://www.wrcc.dri.edu/summary/flg.az.html</t>
    </r>
  </si>
  <si>
    <t>None, baghouse, SCR, etc.</t>
  </si>
  <si>
    <t xml:space="preserve">na, 95%, maximum  0.7 g/hp-hr,  etc. </t>
  </si>
  <si>
    <t>Input the Equipment ID or a process identification number for which emission calculations are made</t>
  </si>
  <si>
    <t>HOURLY
Maximum Capacity / Process Rate</t>
  </si>
  <si>
    <t>EMISSION FACTORS TAB</t>
  </si>
  <si>
    <t>EMISSION CALCULATIONS TAB</t>
  </si>
  <si>
    <t>ANNUAL
Maximum Capacity / Process Rate</t>
  </si>
  <si>
    <t>Emissions (ton/year)</t>
  </si>
  <si>
    <t>Emissions (lb/hour)</t>
  </si>
  <si>
    <t>Control Efficiency</t>
  </si>
  <si>
    <t>horsepower, tons per hour, etc.</t>
  </si>
  <si>
    <t>Input the units of max capacity or note process rate units per hour</t>
  </si>
  <si>
    <t>Input the maximum rated capacity or hourly process rate</t>
  </si>
  <si>
    <t>Input the maximum rated capacity or annual process rate</t>
  </si>
  <si>
    <t>Input the units of max capacity or note process rate units per year</t>
  </si>
  <si>
    <t>horsepower, tons per year, etc.</t>
  </si>
  <si>
    <t>Derivation</t>
  </si>
  <si>
    <t xml:space="preserve">hourly × 8760 hr/yr, operation limited to 5 days per week, etc. </t>
  </si>
  <si>
    <t>Emission Source</t>
  </si>
  <si>
    <t>#5</t>
  </si>
  <si>
    <t>tons/hr</t>
  </si>
  <si>
    <r>
      <t>PM</t>
    </r>
    <r>
      <rPr>
        <vertAlign val="subscript"/>
        <sz val="10"/>
        <rFont val="Times New Roman"/>
        <family val="1"/>
      </rPr>
      <t>10</t>
    </r>
  </si>
  <si>
    <t>k</t>
  </si>
  <si>
    <t>U</t>
  </si>
  <si>
    <t>M</t>
  </si>
  <si>
    <r>
      <t>PM</t>
    </r>
    <r>
      <rPr>
        <vertAlign val="subscript"/>
        <sz val="10"/>
        <rFont val="Times New Roman"/>
        <family val="1"/>
      </rPr>
      <t>2.5</t>
    </r>
  </si>
  <si>
    <t>none</t>
  </si>
  <si>
    <t>mph</t>
  </si>
  <si>
    <t>%</t>
  </si>
  <si>
    <r>
      <t>Wind speed: WRCC annual average for Flagstaff, 1986-2011 (</t>
    </r>
    <r>
      <rPr>
        <u val="single"/>
        <sz val="10"/>
        <color indexed="12"/>
        <rFont val="Times New Roman"/>
        <family val="1"/>
      </rPr>
      <t>http://www.wrcc.dri.edu/summary/flg.az.html)</t>
    </r>
  </si>
  <si>
    <t>see note 1</t>
  </si>
  <si>
    <t>see note 2</t>
  </si>
  <si>
    <t>tons/yr</t>
  </si>
  <si>
    <t>emergency generator</t>
  </si>
  <si>
    <t>g/hp-hr</t>
  </si>
  <si>
    <t>manufacturer's specifications</t>
  </si>
  <si>
    <t>SOx</t>
  </si>
  <si>
    <t>lb/hr</t>
  </si>
  <si>
    <t>not appplicable</t>
  </si>
  <si>
    <t>Mfg BSFC and 0.0015% fuel sulfur</t>
  </si>
  <si>
    <t>BSFC</t>
  </si>
  <si>
    <t>gal/hr</t>
  </si>
  <si>
    <t>fuel density</t>
  </si>
  <si>
    <t>lb/gal</t>
  </si>
  <si>
    <t>S content</t>
  </si>
  <si>
    <t>ratio</t>
  </si>
  <si>
    <r>
      <t>S to SO</t>
    </r>
    <r>
      <rPr>
        <vertAlign val="subscript"/>
        <sz val="10"/>
        <rFont val="Times New Roman"/>
        <family val="1"/>
      </rPr>
      <t>2</t>
    </r>
  </si>
  <si>
    <t>EF = 52.7*7.1*0.000015*2.00</t>
  </si>
  <si>
    <t>hp</t>
  </si>
  <si>
    <t>na</t>
  </si>
  <si>
    <t>hr/year</t>
  </si>
  <si>
    <t>Input the Equipment ID or the process number for which emission calculations are made</t>
  </si>
  <si>
    <t>truck loading with front end loader</t>
  </si>
  <si>
    <t>Material handling,
truck loading by front end loader, water spray control</t>
  </si>
  <si>
    <t>Fuel burning equipment,
emergency generator, diesel fired</t>
  </si>
  <si>
    <t>facility ore assay lab, see detail in section xxx of application</t>
  </si>
  <si>
    <t>truck loading from
front end loader</t>
  </si>
  <si>
    <r>
      <t>PM</t>
    </r>
    <r>
      <rPr>
        <b/>
        <vertAlign val="subscript"/>
        <sz val="10"/>
        <color indexed="8"/>
        <rFont val="Times New Roman"/>
        <family val="1"/>
      </rPr>
      <t>10</t>
    </r>
    <r>
      <rPr>
        <b/>
        <sz val="10"/>
        <color indexed="8"/>
        <rFont val="Times New Roman"/>
        <family val="1"/>
      </rPr>
      <t xml:space="preserve"> </t>
    </r>
  </si>
  <si>
    <r>
      <t>PM</t>
    </r>
    <r>
      <rPr>
        <b/>
        <vertAlign val="subscript"/>
        <sz val="10"/>
        <color indexed="8"/>
        <rFont val="Times New Roman"/>
        <family val="1"/>
      </rPr>
      <t>2.5</t>
    </r>
    <r>
      <rPr>
        <b/>
        <sz val="10"/>
        <color indexed="8"/>
        <rFont val="Times New Roman"/>
        <family val="1"/>
      </rPr>
      <t xml:space="preserve"> </t>
    </r>
  </si>
  <si>
    <r>
      <t>NO</t>
    </r>
    <r>
      <rPr>
        <b/>
        <vertAlign val="subscript"/>
        <sz val="10"/>
        <color indexed="8"/>
        <rFont val="Times New Roman"/>
        <family val="1"/>
      </rPr>
      <t>x</t>
    </r>
  </si>
  <si>
    <r>
      <t>SO</t>
    </r>
    <r>
      <rPr>
        <b/>
        <vertAlign val="subscript"/>
        <sz val="10"/>
        <color indexed="8"/>
        <rFont val="Times New Roman"/>
        <family val="1"/>
      </rPr>
      <t>2</t>
    </r>
  </si>
  <si>
    <r>
      <t>PM</t>
    </r>
    <r>
      <rPr>
        <vertAlign val="subscript"/>
        <sz val="10"/>
        <color indexed="8"/>
        <rFont val="Times New Roman"/>
        <family val="1"/>
      </rPr>
      <t xml:space="preserve">10 </t>
    </r>
  </si>
  <si>
    <r>
      <t>PM</t>
    </r>
    <r>
      <rPr>
        <vertAlign val="subscript"/>
        <sz val="10"/>
        <color indexed="8"/>
        <rFont val="Times New Roman"/>
        <family val="1"/>
      </rPr>
      <t xml:space="preserve">2.5 </t>
    </r>
  </si>
  <si>
    <r>
      <t>PM, PM</t>
    </r>
    <r>
      <rPr>
        <vertAlign val="subscript"/>
        <sz val="10"/>
        <color indexed="8"/>
        <rFont val="Times New Roman"/>
        <family val="1"/>
      </rPr>
      <t xml:space="preserve">10 &amp; </t>
    </r>
    <r>
      <rPr>
        <sz val="10"/>
        <color indexed="8"/>
        <rFont val="Times New Roman"/>
        <family val="1"/>
      </rPr>
      <t>PM</t>
    </r>
    <r>
      <rPr>
        <vertAlign val="subscript"/>
        <sz val="10"/>
        <color indexed="8"/>
        <rFont val="Times New Roman"/>
        <family val="1"/>
      </rPr>
      <t>2.5</t>
    </r>
  </si>
  <si>
    <r>
      <t>SO</t>
    </r>
    <r>
      <rPr>
        <vertAlign val="subscript"/>
        <sz val="10"/>
        <color indexed="8"/>
        <rFont val="Times New Roman"/>
        <family val="1"/>
      </rPr>
      <t>2</t>
    </r>
  </si>
  <si>
    <t>Control Efficiency Basis
(far right column)</t>
  </si>
  <si>
    <t>Cite the justification for the control efficiency</t>
  </si>
  <si>
    <t>manufacturers performance specification, AP42 Section 13.2.2.3</t>
  </si>
  <si>
    <t>AP42 Section 13.2.2.3</t>
  </si>
  <si>
    <t xml:space="preserve">Describe the equipment or process </t>
  </si>
  <si>
    <t>List each pollutant emitted from the process (one per line)</t>
  </si>
  <si>
    <t>Control Efficiency Basis</t>
  </si>
  <si>
    <t>Emissions Factor (EF)</t>
  </si>
  <si>
    <t>EF Units</t>
  </si>
  <si>
    <t>List the equation and the corresponding parameter and inputs variables alogn with the units.   If there are no equations, this cell can be left blank</t>
  </si>
  <si>
    <t>Emission Source Identification (ID) &amp; Description:</t>
  </si>
  <si>
    <t>HOURLY Maximum Capacity/ Process Rate</t>
  </si>
  <si>
    <t>ANNUAL Maximum Capacity/ Process Rate</t>
  </si>
  <si>
    <t>Below are brief descriptions of the fields required:</t>
  </si>
  <si>
    <t>List the equation, if any, that was used to develop the factor</t>
  </si>
  <si>
    <t>Link these cells to the appropriate data in the "Emission Factor Details" sheet, or transfer the information</t>
  </si>
  <si>
    <t>Enter the emission calculation in units of pounds per hour,
use one line for each pollutant</t>
  </si>
  <si>
    <t>Note how  hourly emissions are converted to annual, or the opposite if that is the case</t>
  </si>
  <si>
    <t>N/A, diesel, natural gas, etc.</t>
  </si>
  <si>
    <t>Cite the source, reference, or derivation of all emission factors, equations and variables. If referenced value is from a source other than a commonly recognizable source, (e.g. AP42, EPA or ADEQ Guidance) provide a web link or copy of the source.</t>
  </si>
  <si>
    <t>Based on annual capacity                                    and 8760 hours per year</t>
  </si>
  <si>
    <t>Use of 500 hours per year                               for Emergency Engines</t>
  </si>
  <si>
    <t>Indicate how annual emissions were calculated from hourly emissions               (or the opposite, if that is the case)</t>
  </si>
  <si>
    <t>Input the description of the equipment, fuel used, if any, and type of control used</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</si>
</sst>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
    <numFmt numFmtId="168" formatCode="0.0000"/>
    <numFmt numFmtId="169" formatCode="0.00000"/>
    <numFmt numFmtId="170" formatCode="0.000000"/>
    <numFmt numFmtId="171" formatCode="0.0%"/>
    <numFmt numFmtId="172" formatCode="0.000E+00"/>
    <numFmt numFmtId="173" formatCode="_(* #,##0_);_(* \(#,##0\);_(* &quot;-&quot;??_);_(@_)"/>
    <numFmt numFmtId="174" formatCode="_(* #,##0.0_);_(* \(#,##0.0\);_(* &quot;-&quot;??_);_(@_)"/>
    <numFmt numFmtId="175" formatCode="_(* #,##0.000_);_(* \(#,##0.000\);_(* &quot;-&quot;??_);_(@_)"/>
    <numFmt numFmtId="176" formatCode="?0"/>
    <numFmt numFmtId="177" formatCode="mmmm\ d\,\ yyyy"/>
    <numFmt numFmtId="178" formatCode="#,##0.0000"/>
    <numFmt numFmtId="179" formatCode="0.00E+00;\㛜"/>
    <numFmt numFmtId="180" formatCode="_([$€-2]* #,##0.00_);_([$€-2]* \(#,##0.00\);_([$€-2]* &quot;-&quot;??_)"/>
    <numFmt numFmtId="181" formatCode="#,##0.000_);\(#,##0.000\)"/>
    <numFmt numFmtId="182" formatCode="#,##0.00000_);\(#,##0.00000\)"/>
    <numFmt numFmtId="183" formatCode="0\ &quot;Boiler&quot;"/>
    <numFmt numFmtId="184" formatCode="0\ &quot;Turbine&quot;"/>
    <numFmt numFmtId="185" formatCode="#,##0&quot;(3%O2)&quot;"/>
    <numFmt numFmtId="186" formatCode="0&quot; @3%O2&quot;"/>
    <numFmt numFmtId="187" formatCode="#,##0.0000_);\(#,##0.0000\)"/>
    <numFmt numFmtId="188" formatCode="0.0000000000000000"/>
    <numFmt numFmtId="189" formatCode="_(* #,##0.000_);_(* \(#,##0.000\);_(* &quot;-&quot;???_);_(@_)"/>
    <numFmt numFmtId="190" formatCode="_(* #,##0.0_);_(* \(#,##0.0\);_(* &quot;-&quot;?_);_(@_)"/>
    <numFmt numFmtId="191" formatCode="0.00000000"/>
    <numFmt numFmtId="192" formatCode="0.0000000"/>
    <numFmt numFmtId="193" formatCode="0.0000E+00"/>
    <numFmt numFmtId="194" formatCode="&quot;$&quot;#,##0"/>
    <numFmt numFmtId="195" formatCode="0.00000E+00"/>
    <numFmt numFmtId="196" formatCode="0.000000E+00"/>
    <numFmt numFmtId="197" formatCode="0.0E+00"/>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0.000000000000"/>
    <numFmt numFmtId="204" formatCode="0.0000000000000"/>
    <numFmt numFmtId="205" formatCode="0.0000000%"/>
    <numFmt numFmtId="206" formatCode="[$-409]dddd\,\ mmmm\ dd\,\ yyyy"/>
    <numFmt numFmtId="207" formatCode="0.000000%"/>
    <numFmt numFmtId="208" formatCode="#,##0.0000000000000"/>
    <numFmt numFmtId="209" formatCode="[$-409]h:mm:ss\ AM/PM"/>
    <numFmt numFmtId="210" formatCode="#,##0.00000"/>
    <numFmt numFmtId="211" formatCode="#,##0.000000"/>
    <numFmt numFmtId="212" formatCode="#,##0.0000000"/>
  </numFmts>
  <fonts count="49">
    <font>
      <sz val="9"/>
      <name val="Arial"/>
      <family val="2"/>
    </font>
    <font>
      <sz val="10"/>
      <name val="Arial"/>
      <family val="0"/>
    </font>
    <font>
      <b/>
      <sz val="9"/>
      <name val="Arial"/>
      <family val="2"/>
    </font>
    <font>
      <b/>
      <sz val="9"/>
      <name val="Arial Narrow"/>
      <family val="2"/>
    </font>
    <font>
      <sz val="10"/>
      <name val="Arial Narrow"/>
      <family val="2"/>
    </font>
    <font>
      <i/>
      <sz val="10"/>
      <name val="Arial Narrow"/>
      <family val="2"/>
    </font>
    <font>
      <u val="single"/>
      <sz val="7.5"/>
      <color indexed="36"/>
      <name val="Arial"/>
      <family val="2"/>
    </font>
    <font>
      <u val="single"/>
      <sz val="7.5"/>
      <color indexed="12"/>
      <name val="Arial"/>
      <family val="2"/>
    </font>
    <font>
      <sz val="8"/>
      <name val="Arial"/>
      <family val="2"/>
    </font>
    <font>
      <vertAlign val="subscript"/>
      <sz val="9"/>
      <name val="Arial"/>
      <family val="2"/>
    </font>
    <font>
      <sz val="9"/>
      <name val="Arial Narrow"/>
      <family val="2"/>
    </font>
    <font>
      <i/>
      <sz val="9"/>
      <name val="Arial Narrow"/>
      <family val="2"/>
    </font>
    <font>
      <b/>
      <sz val="12"/>
      <name val="Arial"/>
      <family val="2"/>
    </font>
    <font>
      <sz val="9"/>
      <color indexed="10"/>
      <name val="Arial"/>
      <family val="2"/>
    </font>
    <font>
      <b/>
      <vertAlign val="subscript"/>
      <sz val="9"/>
      <name val="Arial"/>
      <family val="2"/>
    </font>
    <font>
      <b/>
      <i/>
      <sz val="9"/>
      <name val="Arial"/>
      <family val="2"/>
    </font>
    <font>
      <sz val="10"/>
      <name val="Times New Roman"/>
      <family val="1"/>
    </font>
    <font>
      <b/>
      <sz val="10"/>
      <name val="Times New Roman"/>
      <family val="1"/>
    </font>
    <font>
      <sz val="10"/>
      <name val="AvantGarde Bk BT"/>
      <family val="2"/>
    </font>
    <font>
      <b/>
      <sz val="10"/>
      <name val="AvantGarde Bk BT"/>
      <family val="2"/>
    </font>
    <font>
      <vertAlign val="subscript"/>
      <sz val="10"/>
      <name val="AvantGarde Bk BT"/>
      <family val="0"/>
    </font>
    <font>
      <u val="single"/>
      <sz val="10"/>
      <color indexed="12"/>
      <name val="AvantGarde Bk BT"/>
      <family val="0"/>
    </font>
    <font>
      <i/>
      <sz val="10"/>
      <name val="AvantGarde Bk BT"/>
      <family val="0"/>
    </font>
    <font>
      <vertAlign val="subscript"/>
      <sz val="10"/>
      <name val="Times New Roman"/>
      <family val="1"/>
    </font>
    <font>
      <u val="single"/>
      <sz val="10"/>
      <color indexed="12"/>
      <name val="Times New Roman"/>
      <family val="1"/>
    </font>
    <font>
      <sz val="10"/>
      <color indexed="10"/>
      <name val="Times New Roman"/>
      <family val="1"/>
    </font>
    <font>
      <sz val="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imes New Roman"/>
      <family val="1"/>
    </font>
    <font>
      <b/>
      <i/>
      <sz val="10"/>
      <color indexed="8"/>
      <name val="Times New Roman"/>
      <family val="1"/>
    </font>
    <font>
      <b/>
      <sz val="10"/>
      <color indexed="8"/>
      <name val="Times New Roman"/>
      <family val="1"/>
    </font>
    <font>
      <b/>
      <vertAlign val="subscript"/>
      <sz val="10"/>
      <color indexed="8"/>
      <name val="Times New Roman"/>
      <family val="1"/>
    </font>
    <font>
      <vertAlign val="subscript"/>
      <sz val="10"/>
      <color indexed="8"/>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darkDown"/>
    </fill>
    <fill>
      <patternFill patternType="darkUp"/>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double"/>
      <bottom style="thin"/>
    </border>
    <border>
      <left style="thin"/>
      <right style="double"/>
      <top style="double"/>
      <bottom style="thin"/>
    </border>
    <border>
      <left>
        <color indexed="63"/>
      </left>
      <right style="double"/>
      <top style="thin"/>
      <bottom style="thin"/>
    </border>
    <border>
      <left style="thin"/>
      <right>
        <color indexed="63"/>
      </right>
      <top style="thin"/>
      <bottom style="thin"/>
    </border>
    <border>
      <left>
        <color indexed="63"/>
      </left>
      <right>
        <color indexed="63"/>
      </right>
      <top>
        <color indexed="63"/>
      </top>
      <bottom style="double"/>
    </border>
    <border>
      <left style="thin"/>
      <right>
        <color indexed="63"/>
      </right>
      <top style="double"/>
      <bottom style="thin"/>
    </border>
    <border>
      <left style="double"/>
      <right style="thin"/>
      <top style="double"/>
      <bottom style="thin"/>
    </border>
    <border>
      <left style="double"/>
      <right style="double"/>
      <top style="thin"/>
      <bottom style="thin"/>
    </border>
    <border>
      <left style="thin"/>
      <right>
        <color indexed="63"/>
      </right>
      <top style="thin"/>
      <bottom style="double"/>
    </border>
    <border>
      <left style="double"/>
      <right style="double"/>
      <top style="thin"/>
      <bottom style="double"/>
    </border>
    <border>
      <left style="double"/>
      <right style="double"/>
      <top style="double"/>
      <bottom style="thin"/>
    </border>
    <border>
      <left style="double"/>
      <right>
        <color indexed="63"/>
      </right>
      <top style="double"/>
      <bottom style="double"/>
    </border>
    <border>
      <left>
        <color indexed="63"/>
      </left>
      <right>
        <color indexed="63"/>
      </right>
      <top style="double"/>
      <bottom style="double"/>
    </border>
    <border>
      <left style="thin"/>
      <right style="double"/>
      <top style="double"/>
      <bottom style="double"/>
    </border>
    <border>
      <left>
        <color indexed="63"/>
      </left>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thin"/>
      <top style="double"/>
      <bottom>
        <color indexed="63"/>
      </bottom>
    </border>
    <border>
      <left style="double"/>
      <right style="thin"/>
      <top>
        <color indexed="63"/>
      </top>
      <bottom style="double"/>
    </border>
    <border>
      <left style="thin"/>
      <right style="thin"/>
      <top>
        <color indexed="63"/>
      </top>
      <bottom style="double"/>
    </border>
    <border>
      <left style="thin"/>
      <right style="thin"/>
      <top style="double"/>
      <bottom>
        <color indexed="63"/>
      </bottom>
    </border>
    <border>
      <left style="thin"/>
      <right style="double"/>
      <top style="double"/>
      <bottom>
        <color indexed="63"/>
      </bottom>
    </border>
    <border>
      <left style="thin"/>
      <right style="double"/>
      <top>
        <color indexed="63"/>
      </top>
      <bottom style="thin"/>
    </border>
    <border>
      <left>
        <color indexed="63"/>
      </left>
      <right style="double"/>
      <top style="double"/>
      <bottom style="thin"/>
    </border>
    <border>
      <left>
        <color indexed="63"/>
      </left>
      <right style="double"/>
      <top style="thin"/>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style="double"/>
      <right style="double"/>
      <top>
        <color indexed="63"/>
      </top>
      <bottom style="double"/>
    </border>
    <border>
      <left style="thin"/>
      <right>
        <color indexed="63"/>
      </right>
      <top style="double"/>
      <bottom>
        <color indexed="63"/>
      </bottom>
    </border>
    <border>
      <left style="thin"/>
      <right>
        <color indexed="63"/>
      </right>
      <top>
        <color indexed="63"/>
      </top>
      <bottom style="double"/>
    </border>
    <border>
      <left style="double"/>
      <right style="double"/>
      <top style="thin"/>
      <bottom>
        <color indexed="63"/>
      </bottom>
    </border>
    <border>
      <left style="double"/>
      <right>
        <color indexed="63"/>
      </right>
      <top style="double"/>
      <bottom style="thin"/>
    </border>
    <border>
      <left>
        <color indexed="63"/>
      </left>
      <right>
        <color indexed="63"/>
      </right>
      <top style="double"/>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1" fillId="16" borderId="1" applyNumberFormat="0" applyAlignment="0" applyProtection="0"/>
    <xf numFmtId="0" fontId="32"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0" fontId="1" fillId="0" borderId="0" applyFont="0" applyFill="0" applyBorder="0" applyAlignment="0" applyProtection="0"/>
    <xf numFmtId="49" fontId="3" fillId="0" borderId="0">
      <alignment/>
      <protection/>
    </xf>
    <xf numFmtId="0" fontId="5" fillId="0" borderId="0">
      <alignment vertical="top"/>
      <protection/>
    </xf>
    <xf numFmtId="0" fontId="4" fillId="0" borderId="0">
      <alignment/>
      <protection/>
    </xf>
    <xf numFmtId="0" fontId="33" fillId="0" borderId="0" applyNumberFormat="0" applyFill="0" applyBorder="0" applyAlignment="0" applyProtection="0"/>
    <xf numFmtId="0" fontId="6" fillId="0" borderId="0" applyNumberFormat="0" applyFill="0" applyBorder="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7" borderId="0" applyNumberFormat="0" applyBorder="0" applyAlignment="0" applyProtection="0"/>
    <xf numFmtId="0" fontId="1" fillId="0" borderId="0">
      <alignment/>
      <protection/>
    </xf>
    <xf numFmtId="0" fontId="1" fillId="0" borderId="0">
      <alignment/>
      <protection/>
    </xf>
    <xf numFmtId="0" fontId="0" fillId="4" borderId="7" applyNumberFormat="0" applyFont="0" applyAlignment="0" applyProtection="0"/>
    <xf numFmtId="0" fontId="41" fillId="16" borderId="8" applyNumberFormat="0" applyAlignment="0" applyProtection="0"/>
    <xf numFmtId="9" fontId="1" fillId="0" borderId="0" applyFont="0" applyFill="0" applyBorder="0" applyAlignment="0" applyProtection="0"/>
    <xf numFmtId="0" fontId="2" fillId="0" borderId="9">
      <alignment horizontal="center" vertical="center"/>
      <protection/>
    </xf>
    <xf numFmtId="0" fontId="0" fillId="0" borderId="10">
      <alignment horizontal="left" vertical="top"/>
      <protection/>
    </xf>
    <xf numFmtId="0" fontId="42" fillId="0" borderId="0" applyNumberFormat="0" applyFill="0" applyBorder="0" applyAlignment="0" applyProtection="0"/>
    <xf numFmtId="0" fontId="43" fillId="0" borderId="11" applyNumberFormat="0" applyFill="0" applyAlignment="0" applyProtection="0"/>
    <xf numFmtId="0" fontId="39" fillId="0" borderId="0" applyNumberFormat="0" applyFill="0" applyBorder="0" applyAlignment="0" applyProtection="0"/>
  </cellStyleXfs>
  <cellXfs count="47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12" xfId="0" applyFill="1" applyBorder="1" applyAlignment="1">
      <alignment/>
    </xf>
    <xf numFmtId="0" fontId="2" fillId="0" borderId="0" xfId="63" applyFont="1">
      <alignment/>
      <protection/>
    </xf>
    <xf numFmtId="0" fontId="4" fillId="0" borderId="0" xfId="63" applyFont="1">
      <alignment/>
      <protection/>
    </xf>
    <xf numFmtId="0" fontId="5" fillId="0" borderId="0" xfId="63" applyFont="1">
      <alignment/>
      <protection/>
    </xf>
    <xf numFmtId="0" fontId="0" fillId="0" borderId="0" xfId="0" applyFont="1" applyFill="1" applyAlignment="1">
      <alignment horizontal="left"/>
    </xf>
    <xf numFmtId="0" fontId="0" fillId="0" borderId="12" xfId="0" applyFont="1" applyFill="1" applyBorder="1" applyAlignment="1">
      <alignment horizontal="left"/>
    </xf>
    <xf numFmtId="3" fontId="0" fillId="0" borderId="0" xfId="0" applyNumberFormat="1" applyFont="1" applyFill="1" applyAlignment="1">
      <alignment horizontal="center"/>
    </xf>
    <xf numFmtId="3" fontId="0" fillId="0" borderId="12" xfId="0" applyNumberFormat="1" applyFont="1" applyFill="1" applyBorder="1" applyAlignment="1">
      <alignment horizontal="center"/>
    </xf>
    <xf numFmtId="0" fontId="0" fillId="0" borderId="0" xfId="62" applyFont="1" applyFill="1" applyBorder="1" applyAlignment="1">
      <alignment wrapText="1"/>
      <protection/>
    </xf>
    <xf numFmtId="0" fontId="2" fillId="0" borderId="0" xfId="63" applyFont="1" applyFill="1" applyBorder="1">
      <alignment/>
      <protection/>
    </xf>
    <xf numFmtId="0" fontId="0" fillId="0" borderId="0" xfId="0" applyFill="1" applyBorder="1" applyAlignment="1">
      <alignment wrapText="1"/>
    </xf>
    <xf numFmtId="0" fontId="4" fillId="0" borderId="0" xfId="63" applyFont="1" applyFill="1" applyBorder="1">
      <alignment/>
      <protection/>
    </xf>
    <xf numFmtId="11" fontId="0" fillId="0" borderId="0" xfId="0" applyNumberFormat="1" applyFill="1" applyBorder="1" applyAlignment="1">
      <alignment/>
    </xf>
    <xf numFmtId="0" fontId="0" fillId="0" borderId="0" xfId="0" applyFont="1" applyFill="1" applyBorder="1" applyAlignment="1">
      <alignment/>
    </xf>
    <xf numFmtId="0" fontId="0" fillId="0" borderId="12" xfId="0" applyFill="1" applyBorder="1" applyAlignment="1">
      <alignment wrapText="1"/>
    </xf>
    <xf numFmtId="1" fontId="0" fillId="0" borderId="0" xfId="62" applyNumberFormat="1" applyFont="1" applyFill="1" applyBorder="1" applyAlignment="1">
      <alignment wrapText="1"/>
      <protection/>
    </xf>
    <xf numFmtId="3" fontId="0" fillId="0" borderId="0" xfId="62" applyNumberFormat="1" applyFont="1" applyFill="1" applyBorder="1" applyAlignment="1">
      <alignment horizontal="center"/>
      <protection/>
    </xf>
    <xf numFmtId="0" fontId="0" fillId="0" borderId="0" xfId="0" applyFont="1" applyFill="1" applyBorder="1" applyAlignment="1">
      <alignment wrapText="1"/>
    </xf>
    <xf numFmtId="3" fontId="0" fillId="0" borderId="0" xfId="62" applyNumberFormat="1" applyFont="1" applyFill="1" applyBorder="1" applyAlignment="1">
      <alignment horizontal="center" wrapText="1"/>
      <protection/>
    </xf>
    <xf numFmtId="2" fontId="0" fillId="0" borderId="0" xfId="62" applyNumberFormat="1" applyFont="1" applyFill="1" applyBorder="1" applyAlignment="1">
      <alignment horizontal="left" wrapText="1"/>
      <protection/>
    </xf>
    <xf numFmtId="2" fontId="0" fillId="0" borderId="0" xfId="62" applyNumberFormat="1" applyFont="1" applyFill="1" applyBorder="1" applyAlignment="1">
      <alignment horizontal="center" wrapText="1"/>
      <protection/>
    </xf>
    <xf numFmtId="0" fontId="0" fillId="0" borderId="0" xfId="62" applyFont="1" applyFill="1" applyBorder="1" applyAlignment="1">
      <alignment wrapText="1"/>
      <protection/>
    </xf>
    <xf numFmtId="4" fontId="0" fillId="0" borderId="0" xfId="62" applyNumberFormat="1" applyFont="1" applyFill="1" applyBorder="1" applyAlignment="1">
      <alignment horizontal="center"/>
      <protection/>
    </xf>
    <xf numFmtId="165" fontId="0" fillId="0" borderId="0" xfId="62" applyNumberFormat="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wrapText="1"/>
    </xf>
    <xf numFmtId="0" fontId="5" fillId="0" borderId="12" xfId="63" applyFont="1" applyFill="1" applyBorder="1">
      <alignment/>
      <protection/>
    </xf>
    <xf numFmtId="0" fontId="2" fillId="0" borderId="0" xfId="63" applyFont="1" applyFill="1">
      <alignment/>
      <protection/>
    </xf>
    <xf numFmtId="0" fontId="5" fillId="0" borderId="12" xfId="63" applyFont="1" applyBorder="1">
      <alignment/>
      <protection/>
    </xf>
    <xf numFmtId="0" fontId="0" fillId="0" borderId="9" xfId="62" applyFont="1" applyFill="1" applyBorder="1" applyAlignment="1">
      <alignment wrapText="1"/>
      <protection/>
    </xf>
    <xf numFmtId="0" fontId="0" fillId="0" borderId="9" xfId="0" applyFont="1" applyFill="1" applyBorder="1" applyAlignment="1">
      <alignment wrapText="1"/>
    </xf>
    <xf numFmtId="164" fontId="0" fillId="0" borderId="0" xfId="62" applyNumberFormat="1" applyFont="1" applyFill="1" applyBorder="1" applyAlignment="1">
      <alignment horizontal="center"/>
      <protection/>
    </xf>
    <xf numFmtId="0" fontId="0" fillId="0" borderId="9" xfId="0" applyFont="1" applyFill="1" applyBorder="1" applyAlignment="1">
      <alignment wrapText="1"/>
    </xf>
    <xf numFmtId="2" fontId="0" fillId="0" borderId="12" xfId="62" applyNumberFormat="1" applyFont="1" applyFill="1" applyBorder="1" applyAlignment="1">
      <alignment horizontal="center" wrapText="1"/>
      <protection/>
    </xf>
    <xf numFmtId="0" fontId="0" fillId="0" borderId="12" xfId="0" applyFont="1" applyFill="1" applyBorder="1" applyAlignment="1">
      <alignment wrapText="1"/>
    </xf>
    <xf numFmtId="2" fontId="0" fillId="0" borderId="9" xfId="62" applyNumberFormat="1" applyFont="1" applyFill="1" applyBorder="1" applyAlignment="1">
      <alignment horizontal="left" wrapText="1"/>
      <protection/>
    </xf>
    <xf numFmtId="2" fontId="0" fillId="0" borderId="9" xfId="62" applyNumberFormat="1" applyFont="1" applyFill="1" applyBorder="1" applyAlignment="1">
      <alignment horizontal="center" wrapText="1"/>
      <protection/>
    </xf>
    <xf numFmtId="0" fontId="0" fillId="0" borderId="12" xfId="62" applyFont="1" applyFill="1" applyBorder="1" applyAlignment="1">
      <alignment wrapText="1"/>
      <protection/>
    </xf>
    <xf numFmtId="1" fontId="0" fillId="0" borderId="9" xfId="62" applyNumberFormat="1" applyFont="1" applyFill="1" applyBorder="1" applyAlignment="1">
      <alignment horizontal="center" wrapText="1"/>
      <protection/>
    </xf>
    <xf numFmtId="1" fontId="0" fillId="0" borderId="0" xfId="62" applyNumberFormat="1" applyFont="1" applyFill="1" applyBorder="1" applyAlignment="1">
      <alignment horizontal="center" wrapText="1"/>
      <protection/>
    </xf>
    <xf numFmtId="1" fontId="0" fillId="0" borderId="12" xfId="62" applyNumberFormat="1" applyFont="1" applyFill="1" applyBorder="1" applyAlignment="1">
      <alignment horizontal="center" wrapText="1"/>
      <protection/>
    </xf>
    <xf numFmtId="1" fontId="0" fillId="0" borderId="0" xfId="62" applyNumberFormat="1" applyFont="1" applyFill="1" applyBorder="1" applyAlignment="1" quotePrefix="1">
      <alignment horizontal="center" wrapText="1"/>
      <protection/>
    </xf>
    <xf numFmtId="0" fontId="8" fillId="0" borderId="0" xfId="0" applyFont="1" applyFill="1" applyBorder="1" applyAlignment="1">
      <alignment horizontal="left"/>
    </xf>
    <xf numFmtId="4" fontId="0" fillId="0" borderId="0" xfId="62" applyNumberFormat="1" applyFont="1" applyFill="1" applyBorder="1">
      <alignment/>
      <protection/>
    </xf>
    <xf numFmtId="167" fontId="0" fillId="0" borderId="9" xfId="66" applyNumberFormat="1" applyFont="1" applyBorder="1" applyAlignment="1">
      <alignment/>
    </xf>
    <xf numFmtId="1" fontId="0" fillId="0" borderId="12" xfId="62" applyNumberFormat="1" applyFont="1" applyFill="1" applyBorder="1" applyAlignment="1">
      <alignment wrapText="1"/>
      <protection/>
    </xf>
    <xf numFmtId="0" fontId="8" fillId="0" borderId="0" xfId="0" applyFont="1" applyFill="1" applyAlignment="1">
      <alignment/>
    </xf>
    <xf numFmtId="168" fontId="0" fillId="0" borderId="12" xfId="62" applyNumberFormat="1" applyFont="1" applyFill="1" applyBorder="1" applyAlignment="1">
      <alignment horizontal="center" wrapText="1"/>
      <protection/>
    </xf>
    <xf numFmtId="166" fontId="0" fillId="0" borderId="12" xfId="62" applyNumberFormat="1" applyFont="1" applyFill="1" applyBorder="1" applyAlignment="1">
      <alignment horizontal="center" wrapText="1"/>
      <protection/>
    </xf>
    <xf numFmtId="4" fontId="0" fillId="0" borderId="0" xfId="62" applyNumberFormat="1" applyFont="1" applyFill="1" applyBorder="1" applyAlignment="1">
      <alignment horizontal="center" wrapText="1"/>
      <protection/>
    </xf>
    <xf numFmtId="0" fontId="0" fillId="0" borderId="0" xfId="0" applyFont="1" applyAlignment="1">
      <alignment/>
    </xf>
    <xf numFmtId="0" fontId="10" fillId="0" borderId="0" xfId="63" applyFont="1">
      <alignment/>
      <protection/>
    </xf>
    <xf numFmtId="0" fontId="0" fillId="0" borderId="0" xfId="0" applyFont="1" applyAlignment="1">
      <alignment/>
    </xf>
    <xf numFmtId="0" fontId="11" fillId="0" borderId="12" xfId="63" applyFont="1" applyBorder="1">
      <alignment/>
      <protection/>
    </xf>
    <xf numFmtId="0" fontId="0" fillId="0" borderId="12" xfId="0" applyFont="1" applyBorder="1" applyAlignment="1">
      <alignment/>
    </xf>
    <xf numFmtId="0" fontId="0" fillId="0" borderId="13" xfId="62" applyFont="1" applyFill="1" applyBorder="1" applyAlignment="1">
      <alignment wrapText="1"/>
      <protection/>
    </xf>
    <xf numFmtId="0" fontId="2" fillId="0" borderId="0" xfId="62" applyFont="1" applyFill="1" applyBorder="1" applyAlignment="1">
      <alignment horizontal="center" wrapText="1"/>
      <protection/>
    </xf>
    <xf numFmtId="0" fontId="0" fillId="0" borderId="0" xfId="0" applyFont="1" applyBorder="1" applyAlignment="1">
      <alignment/>
    </xf>
    <xf numFmtId="0" fontId="2" fillId="0" borderId="12" xfId="62" applyFont="1" applyFill="1" applyBorder="1" applyAlignment="1">
      <alignment wrapText="1"/>
      <protection/>
    </xf>
    <xf numFmtId="0" fontId="2" fillId="0" borderId="12" xfId="62" applyFont="1" applyFill="1" applyBorder="1" applyAlignment="1">
      <alignment horizontal="center" wrapText="1"/>
      <protection/>
    </xf>
    <xf numFmtId="0" fontId="2" fillId="0" borderId="12" xfId="62" applyFont="1" applyFill="1" applyBorder="1" applyAlignment="1">
      <alignment horizontal="center"/>
      <protection/>
    </xf>
    <xf numFmtId="0" fontId="0" fillId="0" borderId="12" xfId="0" applyFont="1" applyBorder="1" applyAlignment="1">
      <alignment/>
    </xf>
    <xf numFmtId="1" fontId="2" fillId="0" borderId="9" xfId="62" applyNumberFormat="1" applyFont="1" applyFill="1" applyBorder="1" applyAlignment="1">
      <alignment horizontal="left"/>
      <protection/>
    </xf>
    <xf numFmtId="0" fontId="0" fillId="0" borderId="9" xfId="0" applyFont="1" applyBorder="1" applyAlignment="1">
      <alignment/>
    </xf>
    <xf numFmtId="0" fontId="2" fillId="0" borderId="9" xfId="62" applyFont="1" applyFill="1" applyBorder="1" applyAlignment="1">
      <alignment horizontal="center"/>
      <protection/>
    </xf>
    <xf numFmtId="1" fontId="0" fillId="0" borderId="0" xfId="62" applyNumberFormat="1" applyFont="1" applyFill="1" applyBorder="1" applyAlignment="1">
      <alignment horizontal="center"/>
      <protection/>
    </xf>
    <xf numFmtId="0" fontId="0" fillId="0" borderId="0" xfId="0" applyFont="1" applyFill="1" applyBorder="1" applyAlignment="1">
      <alignment wrapText="1"/>
    </xf>
    <xf numFmtId="3" fontId="0" fillId="0" borderId="0" xfId="62" applyNumberFormat="1" applyFont="1" applyFill="1" applyBorder="1" applyAlignment="1">
      <alignment horizontal="center"/>
      <protection/>
    </xf>
    <xf numFmtId="0" fontId="0" fillId="0" borderId="0" xfId="62" applyFont="1" applyFill="1" applyBorder="1" applyAlignment="1">
      <alignment wrapText="1"/>
      <protection/>
    </xf>
    <xf numFmtId="3" fontId="0" fillId="0" borderId="12" xfId="62" applyNumberFormat="1" applyFont="1" applyFill="1" applyBorder="1" applyAlignment="1">
      <alignment horizontal="center" wrapText="1"/>
      <protection/>
    </xf>
    <xf numFmtId="0" fontId="0" fillId="0" borderId="12" xfId="0" applyFont="1" applyFill="1" applyBorder="1" applyAlignment="1">
      <alignment wrapText="1"/>
    </xf>
    <xf numFmtId="1" fontId="2" fillId="0" borderId="12" xfId="62" applyNumberFormat="1" applyFont="1" applyFill="1" applyBorder="1" applyAlignment="1">
      <alignment horizontal="left"/>
      <protection/>
    </xf>
    <xf numFmtId="0" fontId="2" fillId="0" borderId="9" xfId="62" applyFont="1" applyFill="1" applyBorder="1" applyAlignment="1">
      <alignment wrapText="1"/>
      <protection/>
    </xf>
    <xf numFmtId="0" fontId="0" fillId="0" borderId="9" xfId="0" applyFont="1" applyFill="1" applyBorder="1" applyAlignment="1">
      <alignment/>
    </xf>
    <xf numFmtId="4" fontId="0" fillId="0" borderId="12" xfId="62" applyNumberFormat="1" applyFont="1" applyFill="1" applyBorder="1" applyAlignment="1">
      <alignment horizontal="center" wrapText="1"/>
      <protection/>
    </xf>
    <xf numFmtId="0" fontId="2" fillId="0" borderId="9" xfId="0" applyFont="1" applyFill="1" applyBorder="1" applyAlignment="1">
      <alignment horizontal="center"/>
    </xf>
    <xf numFmtId="167" fontId="0" fillId="0" borderId="12" xfId="66" applyNumberFormat="1" applyFont="1" applyFill="1" applyBorder="1" applyAlignment="1">
      <alignment horizontal="center"/>
    </xf>
    <xf numFmtId="165" fontId="0" fillId="0" borderId="0" xfId="0" applyNumberFormat="1" applyFont="1" applyFill="1" applyBorder="1" applyAlignment="1">
      <alignment/>
    </xf>
    <xf numFmtId="165" fontId="0" fillId="0" borderId="0" xfId="0" applyNumberFormat="1" applyFill="1" applyBorder="1" applyAlignment="1">
      <alignment/>
    </xf>
    <xf numFmtId="212" fontId="0" fillId="0" borderId="12" xfId="62" applyNumberFormat="1" applyFont="1" applyFill="1" applyBorder="1" applyAlignment="1">
      <alignment horizontal="center" wrapText="1"/>
      <protection/>
    </xf>
    <xf numFmtId="0" fontId="0" fillId="0" borderId="0" xfId="0" applyFont="1" applyFill="1" applyBorder="1" applyAlignment="1">
      <alignment horizontal="left"/>
    </xf>
    <xf numFmtId="3" fontId="0" fillId="0" borderId="0" xfId="0" applyNumberFormat="1" applyFont="1" applyFill="1" applyBorder="1" applyAlignment="1">
      <alignment horizontal="center"/>
    </xf>
    <xf numFmtId="4" fontId="0" fillId="0" borderId="0" xfId="0" applyNumberFormat="1" applyFont="1" applyFill="1" applyAlignment="1">
      <alignment horizontal="center"/>
    </xf>
    <xf numFmtId="4" fontId="0" fillId="0" borderId="12" xfId="0" applyNumberFormat="1" applyFont="1" applyFill="1" applyBorder="1" applyAlignment="1">
      <alignment horizontal="center"/>
    </xf>
    <xf numFmtId="3" fontId="0" fillId="0" borderId="0" xfId="0" applyNumberFormat="1" applyFill="1" applyAlignment="1">
      <alignment/>
    </xf>
    <xf numFmtId="0" fontId="2" fillId="0" borderId="9" xfId="0" applyFont="1" applyBorder="1" applyAlignment="1">
      <alignment horizontal="center" vertical="center"/>
    </xf>
    <xf numFmtId="0" fontId="12" fillId="0" borderId="0" xfId="63" applyFont="1">
      <alignment/>
      <protection/>
    </xf>
    <xf numFmtId="0" fontId="0" fillId="0" borderId="0" xfId="0"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6" xfId="0" applyFont="1" applyBorder="1" applyAlignment="1" quotePrefix="1">
      <alignment/>
    </xf>
    <xf numFmtId="9" fontId="2" fillId="0" borderId="16" xfId="0" applyNumberFormat="1" applyFont="1" applyBorder="1" applyAlignment="1">
      <alignment horizontal="center"/>
    </xf>
    <xf numFmtId="9" fontId="2" fillId="0" borderId="16" xfId="0" applyNumberFormat="1" applyFont="1" applyFill="1" applyBorder="1" applyAlignment="1">
      <alignment horizontal="center"/>
    </xf>
    <xf numFmtId="0" fontId="13" fillId="0" borderId="0" xfId="0" applyFont="1" applyAlignment="1">
      <alignment/>
    </xf>
    <xf numFmtId="0" fontId="0" fillId="0" borderId="9" xfId="62" applyFont="1" applyFill="1" applyBorder="1">
      <alignment/>
      <protection/>
    </xf>
    <xf numFmtId="0" fontId="2" fillId="0" borderId="9" xfId="62" applyFont="1" applyFill="1" applyBorder="1" applyAlignment="1">
      <alignment horizontal="center" wrapText="1"/>
      <protection/>
    </xf>
    <xf numFmtId="0" fontId="0" fillId="0" borderId="0" xfId="62" applyFont="1" applyFill="1" applyBorder="1">
      <alignment/>
      <protection/>
    </xf>
    <xf numFmtId="0" fontId="2" fillId="0" borderId="12" xfId="62" applyFont="1" applyFill="1" applyBorder="1">
      <alignment/>
      <protection/>
    </xf>
    <xf numFmtId="1" fontId="2" fillId="0" borderId="0" xfId="62" applyNumberFormat="1" applyFont="1" applyFill="1" applyBorder="1" applyAlignment="1">
      <alignment horizontal="left"/>
      <protection/>
    </xf>
    <xf numFmtId="1" fontId="2" fillId="0" borderId="9" xfId="62" applyNumberFormat="1" applyFont="1" applyFill="1" applyBorder="1" applyAlignment="1">
      <alignment horizontal="left" wrapText="1"/>
      <protection/>
    </xf>
    <xf numFmtId="3" fontId="0" fillId="0" borderId="9" xfId="62" applyNumberFormat="1" applyFont="1" applyFill="1" applyBorder="1" applyAlignment="1">
      <alignment horizontal="center" wrapText="1"/>
      <protection/>
    </xf>
    <xf numFmtId="2" fontId="2" fillId="0" borderId="9" xfId="62" applyNumberFormat="1" applyFont="1" applyFill="1" applyBorder="1" applyAlignment="1">
      <alignment horizontal="left" wrapText="1"/>
      <protection/>
    </xf>
    <xf numFmtId="2" fontId="2" fillId="0" borderId="9" xfId="62" applyNumberFormat="1" applyFont="1" applyFill="1" applyBorder="1" applyAlignment="1">
      <alignment horizontal="center" wrapText="1"/>
      <protection/>
    </xf>
    <xf numFmtId="1" fontId="2" fillId="0" borderId="9" xfId="62" applyNumberFormat="1" applyFont="1" applyFill="1" applyBorder="1" applyAlignment="1">
      <alignment horizontal="left"/>
      <protection/>
    </xf>
    <xf numFmtId="3" fontId="2" fillId="0" borderId="9" xfId="62" applyNumberFormat="1" applyFont="1" applyFill="1" applyBorder="1" applyAlignment="1">
      <alignment horizontal="center"/>
      <protection/>
    </xf>
    <xf numFmtId="165" fontId="0" fillId="0" borderId="0" xfId="62" applyNumberFormat="1" applyFont="1" applyFill="1" applyBorder="1" applyAlignment="1">
      <alignment horizontal="center" wrapText="1"/>
      <protection/>
    </xf>
    <xf numFmtId="2" fontId="0" fillId="0" borderId="0" xfId="62" applyNumberFormat="1" applyFont="1" applyFill="1" applyBorder="1" applyAlignment="1">
      <alignment horizontal="center"/>
      <protection/>
    </xf>
    <xf numFmtId="3" fontId="0" fillId="0" borderId="0" xfId="62" applyNumberFormat="1" applyFont="1" applyFill="1" applyBorder="1" applyAlignment="1">
      <alignment wrapText="1"/>
      <protection/>
    </xf>
    <xf numFmtId="165" fontId="0" fillId="0" borderId="0" xfId="62" applyNumberFormat="1" applyFont="1" applyFill="1" applyBorder="1" applyAlignment="1">
      <alignment horizontal="center"/>
      <protection/>
    </xf>
    <xf numFmtId="4" fontId="0" fillId="0" borderId="0" xfId="62" applyNumberFormat="1" applyFont="1" applyFill="1" applyBorder="1" applyAlignment="1">
      <alignment horizontal="center"/>
      <protection/>
    </xf>
    <xf numFmtId="164" fontId="0" fillId="0" borderId="0" xfId="62" applyNumberFormat="1" applyFont="1" applyFill="1" applyBorder="1" applyAlignment="1">
      <alignment horizontal="center"/>
      <protection/>
    </xf>
    <xf numFmtId="178" fontId="0" fillId="0" borderId="0" xfId="62" applyNumberFormat="1" applyFont="1" applyFill="1" applyBorder="1" applyAlignment="1">
      <alignment horizontal="center"/>
      <protection/>
    </xf>
    <xf numFmtId="164" fontId="0" fillId="0" borderId="0" xfId="62" applyNumberFormat="1" applyFont="1" applyFill="1" applyBorder="1" applyAlignment="1">
      <alignment horizontal="center" wrapText="1"/>
      <protection/>
    </xf>
    <xf numFmtId="212" fontId="0" fillId="0" borderId="0" xfId="62" applyNumberFormat="1" applyFont="1" applyFill="1" applyBorder="1" applyAlignment="1">
      <alignment horizontal="center"/>
      <protection/>
    </xf>
    <xf numFmtId="0" fontId="0" fillId="0" borderId="12" xfId="62" applyFont="1" applyFill="1" applyBorder="1" applyAlignment="1">
      <alignment wrapText="1"/>
      <protection/>
    </xf>
    <xf numFmtId="0" fontId="2" fillId="0" borderId="9" xfId="62" applyFont="1" applyFill="1" applyBorder="1" applyAlignment="1">
      <alignment wrapText="1"/>
      <protection/>
    </xf>
    <xf numFmtId="0" fontId="0" fillId="0" borderId="9" xfId="0" applyFont="1" applyFill="1" applyBorder="1" applyAlignment="1">
      <alignment horizontal="center"/>
    </xf>
    <xf numFmtId="0" fontId="0" fillId="0" borderId="9" xfId="62" applyFont="1" applyFill="1" applyBorder="1" applyAlignment="1">
      <alignment wrapText="1"/>
      <protection/>
    </xf>
    <xf numFmtId="1" fontId="2" fillId="0" borderId="12" xfId="62" applyNumberFormat="1" applyFont="1" applyFill="1" applyBorder="1" applyAlignment="1">
      <alignment horizontal="left"/>
      <protection/>
    </xf>
    <xf numFmtId="164" fontId="0" fillId="0" borderId="0" xfId="62" applyNumberFormat="1" applyFont="1" applyFill="1" applyBorder="1" applyAlignment="1" quotePrefix="1">
      <alignment horizontal="center"/>
      <protection/>
    </xf>
    <xf numFmtId="166" fontId="0" fillId="0" borderId="0" xfId="62" applyNumberFormat="1" applyFont="1" applyFill="1" applyBorder="1" applyAlignment="1">
      <alignment horizontal="center"/>
      <protection/>
    </xf>
    <xf numFmtId="164" fontId="0" fillId="0" borderId="12" xfId="62" applyNumberFormat="1" applyFont="1" applyFill="1" applyBorder="1" applyAlignment="1" quotePrefix="1">
      <alignment horizontal="center"/>
      <protection/>
    </xf>
    <xf numFmtId="165" fontId="0" fillId="0" borderId="12" xfId="62" applyNumberFormat="1" applyFont="1" applyFill="1" applyBorder="1" applyAlignment="1">
      <alignment horizontal="center"/>
      <protection/>
    </xf>
    <xf numFmtId="0" fontId="0" fillId="0" borderId="10" xfId="62" applyFont="1" applyFill="1" applyBorder="1" applyAlignment="1">
      <alignment wrapText="1"/>
      <protection/>
    </xf>
    <xf numFmtId="0" fontId="2" fillId="0" borderId="12" xfId="62" applyFont="1" applyFill="1" applyBorder="1" applyAlignment="1">
      <alignment wrapText="1"/>
      <protection/>
    </xf>
    <xf numFmtId="0" fontId="2" fillId="0" borderId="9"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2" fillId="0" borderId="9" xfId="0" applyFont="1" applyFill="1" applyBorder="1" applyAlignment="1">
      <alignment/>
    </xf>
    <xf numFmtId="0" fontId="2" fillId="0" borderId="9" xfId="0" applyFont="1" applyFill="1" applyBorder="1" applyAlignment="1">
      <alignment horizontal="center" wrapText="1"/>
    </xf>
    <xf numFmtId="0" fontId="2" fillId="0" borderId="16" xfId="0" applyFont="1" applyBorder="1" applyAlignment="1">
      <alignment horizontal="center"/>
    </xf>
    <xf numFmtId="0" fontId="2" fillId="0" borderId="14" xfId="0" applyFont="1" applyBorder="1" applyAlignment="1">
      <alignment horizontal="center" wrapText="1"/>
    </xf>
    <xf numFmtId="0" fontId="0" fillId="0" borderId="16" xfId="0" applyFont="1" applyBorder="1" applyAlignment="1">
      <alignment horizontal="center"/>
    </xf>
    <xf numFmtId="0" fontId="0" fillId="0" borderId="16" xfId="0" applyFont="1" applyBorder="1" applyAlignment="1" quotePrefix="1">
      <alignment/>
    </xf>
    <xf numFmtId="3" fontId="0" fillId="0" borderId="16" xfId="0" applyNumberFormat="1" applyFont="1" applyBorder="1" applyAlignment="1">
      <alignment horizontal="center"/>
    </xf>
    <xf numFmtId="2" fontId="2" fillId="0" borderId="16" xfId="0" applyNumberFormat="1" applyFont="1" applyBorder="1" applyAlignment="1">
      <alignment horizontal="center"/>
    </xf>
    <xf numFmtId="2" fontId="0" fillId="0" borderId="16" xfId="0" applyNumberFormat="1" applyFont="1" applyBorder="1" applyAlignment="1">
      <alignment horizontal="center"/>
    </xf>
    <xf numFmtId="167" fontId="0" fillId="0" borderId="16" xfId="0" applyNumberFormat="1" applyFont="1" applyBorder="1" applyAlignment="1">
      <alignment horizontal="center"/>
    </xf>
    <xf numFmtId="0" fontId="0" fillId="0" borderId="16" xfId="0" applyFont="1" applyFill="1" applyBorder="1" applyAlignment="1">
      <alignment/>
    </xf>
    <xf numFmtId="0" fontId="0" fillId="0" borderId="16" xfId="0" applyFont="1" applyBorder="1" applyAlignment="1">
      <alignment horizontal="center"/>
    </xf>
    <xf numFmtId="3" fontId="0" fillId="0" borderId="16" xfId="0" applyNumberFormat="1" applyFont="1" applyFill="1" applyBorder="1" applyAlignment="1">
      <alignment horizontal="center"/>
    </xf>
    <xf numFmtId="197" fontId="0" fillId="0" borderId="16" xfId="0" applyNumberFormat="1" applyFont="1" applyBorder="1" applyAlignment="1">
      <alignment horizontal="center"/>
    </xf>
    <xf numFmtId="197" fontId="0" fillId="0" borderId="16" xfId="0" applyNumberFormat="1" applyFont="1" applyBorder="1" applyAlignment="1" quotePrefix="1">
      <alignment horizontal="center"/>
    </xf>
    <xf numFmtId="0" fontId="0" fillId="0" borderId="16" xfId="0" applyFont="1" applyBorder="1" applyAlignment="1">
      <alignment/>
    </xf>
    <xf numFmtId="0" fontId="0" fillId="0" borderId="16" xfId="0" applyFont="1" applyFill="1" applyBorder="1" applyAlignment="1">
      <alignment horizontal="center"/>
    </xf>
    <xf numFmtId="0" fontId="0" fillId="0" borderId="16" xfId="0" applyFont="1" applyFill="1" applyBorder="1" applyAlignment="1" quotePrefix="1">
      <alignment horizontal="center"/>
    </xf>
    <xf numFmtId="169" fontId="0" fillId="0" borderId="16" xfId="0" applyNumberFormat="1" applyFont="1" applyFill="1" applyBorder="1" applyAlignment="1">
      <alignment horizontal="center"/>
    </xf>
    <xf numFmtId="167" fontId="0" fillId="0" borderId="16" xfId="0" applyNumberFormat="1" applyFont="1" applyFill="1" applyBorder="1" applyAlignment="1">
      <alignment horizontal="center"/>
    </xf>
    <xf numFmtId="3" fontId="0" fillId="0" borderId="16" xfId="0" applyNumberFormat="1" applyFont="1" applyBorder="1" applyAlignment="1">
      <alignment horizontal="center"/>
    </xf>
    <xf numFmtId="197" fontId="0" fillId="0" borderId="16" xfId="0" applyNumberFormat="1" applyFont="1" applyFill="1" applyBorder="1" applyAlignment="1">
      <alignment horizontal="center"/>
    </xf>
    <xf numFmtId="0" fontId="0" fillId="0" borderId="0" xfId="0" applyFont="1" applyAlignment="1">
      <alignment horizontal="center"/>
    </xf>
    <xf numFmtId="0" fontId="0" fillId="0" borderId="0" xfId="0" applyFont="1" applyAlignment="1" quotePrefix="1">
      <alignment/>
    </xf>
    <xf numFmtId="0" fontId="0" fillId="0" borderId="0" xfId="63" applyFont="1">
      <alignment/>
      <protection/>
    </xf>
    <xf numFmtId="0" fontId="2" fillId="0" borderId="16" xfId="0" applyFont="1" applyFill="1" applyBorder="1" applyAlignment="1">
      <alignment horizontal="center"/>
    </xf>
    <xf numFmtId="2" fontId="2" fillId="0" borderId="16" xfId="0" applyNumberFormat="1" applyFont="1" applyFill="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wrapText="1"/>
    </xf>
    <xf numFmtId="167" fontId="0" fillId="0" borderId="0" xfId="0" applyNumberFormat="1" applyFont="1" applyAlignment="1">
      <alignment horizont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9" fontId="0" fillId="0" borderId="16" xfId="0" applyNumberFormat="1" applyFont="1" applyFill="1" applyBorder="1" applyAlignment="1">
      <alignment horizontal="center"/>
    </xf>
    <xf numFmtId="197" fontId="0" fillId="0" borderId="16" xfId="0" applyNumberFormat="1" applyFont="1" applyBorder="1" applyAlignment="1">
      <alignment horizontal="center" wrapText="1"/>
    </xf>
    <xf numFmtId="9" fontId="0" fillId="0" borderId="16" xfId="0" applyNumberFormat="1" applyFont="1" applyBorder="1" applyAlignment="1">
      <alignment horizontal="center"/>
    </xf>
    <xf numFmtId="2" fontId="0" fillId="0" borderId="16" xfId="0" applyNumberFormat="1" applyFont="1" applyBorder="1" applyAlignment="1">
      <alignment horizontal="center"/>
    </xf>
    <xf numFmtId="168" fontId="0" fillId="0" borderId="16" xfId="0" applyNumberFormat="1" applyFont="1" applyBorder="1" applyAlignment="1">
      <alignment horizontal="center"/>
    </xf>
    <xf numFmtId="168" fontId="0" fillId="0" borderId="16" xfId="0" applyNumberFormat="1" applyFont="1" applyFill="1" applyBorder="1" applyAlignment="1">
      <alignment horizontal="center"/>
    </xf>
    <xf numFmtId="168" fontId="2" fillId="0" borderId="16" xfId="0" applyNumberFormat="1" applyFont="1" applyBorder="1" applyAlignment="1">
      <alignment horizontal="center"/>
    </xf>
    <xf numFmtId="168" fontId="2" fillId="0" borderId="16" xfId="0" applyNumberFormat="1" applyFont="1" applyFill="1" applyBorder="1" applyAlignment="1">
      <alignment horizontal="center"/>
    </xf>
    <xf numFmtId="0" fontId="11" fillId="0" borderId="0" xfId="63" applyFont="1" applyBorder="1">
      <alignment/>
      <protection/>
    </xf>
    <xf numFmtId="0" fontId="12" fillId="0" borderId="0" xfId="0" applyFont="1" applyAlignment="1">
      <alignment/>
    </xf>
    <xf numFmtId="2" fontId="2" fillId="0" borderId="0" xfId="0" applyNumberFormat="1" applyFont="1" applyBorder="1" applyAlignment="1">
      <alignment horizontal="center"/>
    </xf>
    <xf numFmtId="0" fontId="0" fillId="0" borderId="16" xfId="0" applyFont="1" applyBorder="1" applyAlignment="1">
      <alignment horizontal="left"/>
    </xf>
    <xf numFmtId="0" fontId="0" fillId="0" borderId="16" xfId="0" applyFont="1" applyBorder="1" applyAlignment="1">
      <alignment/>
    </xf>
    <xf numFmtId="0" fontId="0" fillId="0" borderId="0" xfId="0" applyFont="1" applyBorder="1" applyAlignment="1">
      <alignment horizontal="left"/>
    </xf>
    <xf numFmtId="0" fontId="0" fillId="0" borderId="0" xfId="0" applyFont="1" applyBorder="1" applyAlignment="1">
      <alignment horizontal="left" wrapText="1"/>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Alignment="1">
      <alignment horizontal="left"/>
    </xf>
    <xf numFmtId="0" fontId="0" fillId="0" borderId="16" xfId="0" applyFont="1" applyBorder="1" applyAlignment="1">
      <alignment horizontal="left"/>
    </xf>
    <xf numFmtId="0" fontId="2" fillId="0" borderId="9" xfId="0" applyFont="1" applyBorder="1" applyAlignment="1">
      <alignment horizontal="center"/>
    </xf>
    <xf numFmtId="0" fontId="2" fillId="0" borderId="9" xfId="0" applyFont="1" applyBorder="1" applyAlignment="1">
      <alignment horizontal="center" wrapText="1"/>
    </xf>
    <xf numFmtId="4" fontId="0" fillId="0" borderId="0" xfId="0" applyNumberFormat="1" applyFont="1" applyAlignment="1">
      <alignment horizontal="center"/>
    </xf>
    <xf numFmtId="4" fontId="0" fillId="0" borderId="0" xfId="0" applyNumberFormat="1" applyFont="1" applyAlignment="1">
      <alignment/>
    </xf>
    <xf numFmtId="3" fontId="0" fillId="0" borderId="0" xfId="0" applyNumberFormat="1" applyFont="1" applyAlignment="1">
      <alignment/>
    </xf>
    <xf numFmtId="0" fontId="0" fillId="0" borderId="0" xfId="0" applyFont="1" applyFill="1" applyAlignment="1">
      <alignment/>
    </xf>
    <xf numFmtId="0" fontId="11" fillId="0" borderId="0" xfId="63" applyFont="1">
      <alignment/>
      <protection/>
    </xf>
    <xf numFmtId="0" fontId="0" fillId="0" borderId="0" xfId="0" applyFont="1" applyFill="1" applyAlignment="1">
      <alignment/>
    </xf>
    <xf numFmtId="0" fontId="0" fillId="0" borderId="16" xfId="0" applyFont="1" applyBorder="1" applyAlignment="1" quotePrefix="1">
      <alignment horizontal="left"/>
    </xf>
    <xf numFmtId="2" fontId="2" fillId="0" borderId="15" xfId="0" applyNumberFormat="1" applyFont="1" applyBorder="1" applyAlignment="1">
      <alignment horizontal="center"/>
    </xf>
    <xf numFmtId="3" fontId="0" fillId="0" borderId="16" xfId="0" applyNumberFormat="1" applyFont="1" applyBorder="1" applyAlignment="1">
      <alignment horizontal="center" wrapText="1"/>
    </xf>
    <xf numFmtId="0" fontId="0" fillId="0" borderId="16" xfId="0" applyFont="1" applyFill="1" applyBorder="1" applyAlignment="1">
      <alignment horizontal="center" wrapText="1"/>
    </xf>
    <xf numFmtId="0" fontId="0" fillId="0" borderId="16" xfId="0" applyFont="1" applyBorder="1" applyAlignment="1">
      <alignment horizontal="center" wrapText="1"/>
    </xf>
    <xf numFmtId="1" fontId="0" fillId="0" borderId="16" xfId="0" applyNumberFormat="1" applyFont="1" applyBorder="1" applyAlignment="1">
      <alignment horizontal="center" wrapText="1"/>
    </xf>
    <xf numFmtId="166" fontId="0" fillId="0" borderId="16" xfId="0" applyNumberFormat="1" applyFont="1" applyBorder="1" applyAlignment="1">
      <alignment horizontal="center" wrapText="1"/>
    </xf>
    <xf numFmtId="9" fontId="0" fillId="0" borderId="16" xfId="0" applyNumberFormat="1" applyFont="1" applyBorder="1" applyAlignment="1">
      <alignment horizontal="center" wrapText="1"/>
    </xf>
    <xf numFmtId="2" fontId="0" fillId="0" borderId="16" xfId="0" applyNumberFormat="1" applyFont="1" applyBorder="1" applyAlignment="1">
      <alignment horizontal="center" wrapText="1"/>
    </xf>
    <xf numFmtId="0" fontId="0" fillId="18" borderId="16" xfId="0" applyFont="1" applyFill="1" applyBorder="1" applyAlignment="1">
      <alignment/>
    </xf>
    <xf numFmtId="0" fontId="2" fillId="0" borderId="16" xfId="0" applyFont="1" applyBorder="1" applyAlignment="1" quotePrefix="1">
      <alignment horizontal="center" wrapText="1"/>
    </xf>
    <xf numFmtId="166" fontId="0" fillId="0" borderId="16" xfId="0" applyNumberFormat="1" applyFont="1" applyBorder="1" applyAlignment="1">
      <alignment horizontal="center"/>
    </xf>
    <xf numFmtId="0" fontId="16" fillId="0" borderId="0" xfId="0" applyFont="1" applyAlignment="1">
      <alignment wrapText="1"/>
    </xf>
    <xf numFmtId="0" fontId="19" fillId="0" borderId="20" xfId="0" applyFont="1" applyFill="1" applyBorder="1" applyAlignment="1">
      <alignment vertical="center"/>
    </xf>
    <xf numFmtId="168" fontId="1" fillId="0" borderId="21" xfId="0" applyNumberFormat="1" applyFont="1" applyFill="1" applyBorder="1" applyAlignment="1">
      <alignment horizontal="left"/>
    </xf>
    <xf numFmtId="0" fontId="17" fillId="5" borderId="22"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8" fillId="0" borderId="16" xfId="0" applyFont="1" applyFill="1" applyBorder="1" applyAlignment="1">
      <alignment vertical="center" wrapText="1"/>
    </xf>
    <xf numFmtId="0" fontId="18" fillId="0" borderId="21" xfId="0" applyFont="1" applyFill="1" applyBorder="1" applyAlignment="1">
      <alignment horizontal="left" vertical="center" wrapText="1"/>
    </xf>
    <xf numFmtId="0" fontId="18" fillId="0" borderId="16" xfId="0" applyFont="1" applyFill="1" applyBorder="1" applyAlignment="1">
      <alignment vertical="center" wrapText="1"/>
    </xf>
    <xf numFmtId="0" fontId="16" fillId="0" borderId="0" xfId="0" applyFont="1" applyAlignment="1">
      <alignment/>
    </xf>
    <xf numFmtId="0" fontId="25" fillId="0" borderId="0" xfId="0" applyFont="1" applyAlignment="1">
      <alignment/>
    </xf>
    <xf numFmtId="0" fontId="16" fillId="0" borderId="0" xfId="0" applyFont="1" applyBorder="1" applyAlignment="1">
      <alignment/>
    </xf>
    <xf numFmtId="168" fontId="16" fillId="0" borderId="0" xfId="0" applyNumberFormat="1" applyFont="1" applyFill="1" applyBorder="1" applyAlignment="1">
      <alignment horizontal="left"/>
    </xf>
    <xf numFmtId="0" fontId="16" fillId="0" borderId="0" xfId="0" applyFont="1" applyBorder="1" applyAlignment="1">
      <alignment horizontal="center" vertical="center" wrapText="1"/>
    </xf>
    <xf numFmtId="0" fontId="16" fillId="0" borderId="0" xfId="0" applyFont="1" applyBorder="1" applyAlignment="1">
      <alignment horizontal="center" wrapText="1"/>
    </xf>
    <xf numFmtId="3" fontId="16" fillId="0" borderId="0" xfId="0" applyNumberFormat="1" applyFont="1" applyBorder="1" applyAlignment="1">
      <alignment horizontal="center" wrapText="1"/>
    </xf>
    <xf numFmtId="4" fontId="16" fillId="0" borderId="0" xfId="0" applyNumberFormat="1" applyFont="1" applyBorder="1" applyAlignment="1">
      <alignment horizontal="center" wrapText="1"/>
    </xf>
    <xf numFmtId="3" fontId="16" fillId="0" borderId="0" xfId="0" applyNumberFormat="1" applyFont="1" applyBorder="1" applyAlignment="1">
      <alignment vertical="center" wrapText="1"/>
    </xf>
    <xf numFmtId="0" fontId="16" fillId="0" borderId="0" xfId="0" applyFont="1" applyAlignment="1">
      <alignment horizontal="right"/>
    </xf>
    <xf numFmtId="168" fontId="16" fillId="0" borderId="0" xfId="0" applyNumberFormat="1" applyFont="1" applyAlignment="1">
      <alignment/>
    </xf>
    <xf numFmtId="0" fontId="18" fillId="0" borderId="0" xfId="0" applyFont="1" applyFill="1" applyAlignment="1">
      <alignment/>
    </xf>
    <xf numFmtId="0" fontId="18" fillId="0" borderId="0" xfId="0" applyFont="1" applyFill="1" applyAlignment="1">
      <alignment wrapText="1"/>
    </xf>
    <xf numFmtId="0" fontId="19" fillId="0" borderId="0" xfId="0" applyFont="1" applyFill="1" applyAlignment="1">
      <alignment/>
    </xf>
    <xf numFmtId="0" fontId="18" fillId="0" borderId="21" xfId="0" applyFont="1" applyFill="1" applyBorder="1" applyAlignment="1">
      <alignment vertical="center" wrapText="1"/>
    </xf>
    <xf numFmtId="11" fontId="18" fillId="0" borderId="0" xfId="0" applyNumberFormat="1" applyFont="1" applyFill="1" applyAlignment="1">
      <alignment/>
    </xf>
    <xf numFmtId="0" fontId="18" fillId="0" borderId="24" xfId="0" applyFont="1" applyFill="1" applyBorder="1" applyAlignment="1">
      <alignment wrapText="1"/>
    </xf>
    <xf numFmtId="0" fontId="19" fillId="0" borderId="20" xfId="0" applyFont="1" applyFill="1" applyBorder="1" applyAlignment="1">
      <alignment vertical="center" wrapText="1"/>
    </xf>
    <xf numFmtId="0" fontId="19" fillId="0" borderId="0" xfId="0" applyFont="1" applyFill="1" applyAlignment="1">
      <alignment/>
    </xf>
    <xf numFmtId="0" fontId="19" fillId="0" borderId="22" xfId="0" applyFont="1" applyFill="1" applyBorder="1" applyAlignment="1">
      <alignment vertical="center"/>
    </xf>
    <xf numFmtId="0" fontId="18" fillId="0" borderId="23" xfId="0" applyFont="1" applyFill="1" applyBorder="1" applyAlignment="1">
      <alignment wrapText="1"/>
    </xf>
    <xf numFmtId="0" fontId="18" fillId="0" borderId="24" xfId="0" applyFont="1" applyFill="1" applyBorder="1" applyAlignment="1">
      <alignment vertical="center" wrapText="1"/>
    </xf>
    <xf numFmtId="0" fontId="16" fillId="0" borderId="0" xfId="0" applyFont="1" applyFill="1" applyAlignment="1">
      <alignment wrapText="1"/>
    </xf>
    <xf numFmtId="0" fontId="16" fillId="0" borderId="16" xfId="0" applyFont="1" applyFill="1" applyBorder="1" applyAlignment="1">
      <alignment horizontal="center" vertical="center" wrapText="1"/>
    </xf>
    <xf numFmtId="0" fontId="16" fillId="0" borderId="21" xfId="0" applyFont="1" applyFill="1" applyBorder="1" applyAlignment="1">
      <alignment vertical="center" wrapText="1"/>
    </xf>
    <xf numFmtId="3" fontId="16" fillId="0" borderId="25" xfId="0" applyNumberFormat="1" applyFont="1" applyFill="1" applyBorder="1" applyAlignment="1">
      <alignment horizontal="center" wrapText="1"/>
    </xf>
    <xf numFmtId="4" fontId="16" fillId="0" borderId="25" xfId="0" applyNumberFormat="1" applyFont="1" applyFill="1" applyBorder="1" applyAlignment="1">
      <alignment horizontal="center" wrapText="1"/>
    </xf>
    <xf numFmtId="3" fontId="16" fillId="0" borderId="26" xfId="0" applyNumberFormat="1" applyFont="1" applyFill="1" applyBorder="1" applyAlignment="1">
      <alignment horizontal="center" wrapText="1"/>
    </xf>
    <xf numFmtId="0" fontId="16" fillId="0" borderId="0" xfId="0" applyFont="1" applyFill="1" applyAlignment="1">
      <alignment horizontal="left" wrapText="1"/>
    </xf>
    <xf numFmtId="3" fontId="16" fillId="0" borderId="16" xfId="0" applyNumberFormat="1" applyFont="1" applyFill="1" applyBorder="1" applyAlignment="1">
      <alignment horizontal="center" wrapText="1"/>
    </xf>
    <xf numFmtId="164" fontId="16" fillId="0" borderId="16" xfId="0" applyNumberFormat="1" applyFont="1" applyFill="1" applyBorder="1" applyAlignment="1">
      <alignment horizontal="center" wrapText="1"/>
    </xf>
    <xf numFmtId="3" fontId="16" fillId="0" borderId="21" xfId="0" applyNumberFormat="1" applyFont="1" applyFill="1" applyBorder="1" applyAlignment="1">
      <alignment horizontal="center" wrapText="1"/>
    </xf>
    <xf numFmtId="166" fontId="16" fillId="0" borderId="16" xfId="0" applyNumberFormat="1" applyFont="1" applyFill="1" applyBorder="1" applyAlignment="1">
      <alignment horizontal="center" wrapText="1"/>
    </xf>
    <xf numFmtId="3" fontId="16" fillId="0" borderId="27" xfId="0" applyNumberFormat="1" applyFont="1" applyFill="1" applyBorder="1" applyAlignment="1">
      <alignment horizontal="left" wrapText="1"/>
    </xf>
    <xf numFmtId="4" fontId="16" fillId="0" borderId="16" xfId="0" applyNumberFormat="1" applyFont="1" applyFill="1" applyBorder="1" applyAlignment="1">
      <alignment horizontal="center" wrapText="1"/>
    </xf>
    <xf numFmtId="165" fontId="16" fillId="0" borderId="16" xfId="0" applyNumberFormat="1" applyFont="1" applyFill="1" applyBorder="1" applyAlignment="1">
      <alignment horizontal="center" wrapText="1"/>
    </xf>
    <xf numFmtId="0" fontId="16" fillId="0" borderId="28" xfId="0" applyFont="1" applyFill="1" applyBorder="1" applyAlignment="1">
      <alignment horizontal="center" vertical="center" wrapText="1"/>
    </xf>
    <xf numFmtId="0" fontId="16" fillId="0" borderId="16" xfId="0" applyFont="1" applyFill="1" applyBorder="1" applyAlignment="1">
      <alignment horizontal="center" vertical="center"/>
    </xf>
    <xf numFmtId="3" fontId="16" fillId="0" borderId="16" xfId="0" applyNumberFormat="1" applyFont="1" applyFill="1" applyBorder="1" applyAlignment="1">
      <alignment horizontal="center" vertical="center" wrapText="1"/>
    </xf>
    <xf numFmtId="4" fontId="16" fillId="0" borderId="16" xfId="0" applyNumberFormat="1" applyFont="1" applyFill="1" applyBorder="1" applyAlignment="1">
      <alignment horizontal="center" vertical="center" wrapText="1"/>
    </xf>
    <xf numFmtId="3" fontId="16" fillId="0" borderId="21" xfId="0" applyNumberFormat="1" applyFont="1" applyFill="1" applyBorder="1" applyAlignment="1">
      <alignment horizontal="center" vertical="center" wrapText="1"/>
    </xf>
    <xf numFmtId="178" fontId="16" fillId="0" borderId="16" xfId="0" applyNumberFormat="1" applyFont="1" applyFill="1" applyBorder="1" applyAlignment="1">
      <alignment horizontal="center" vertical="center" wrapText="1"/>
    </xf>
    <xf numFmtId="178" fontId="27" fillId="0" borderId="16" xfId="0" applyNumberFormat="1" applyFont="1" applyFill="1" applyBorder="1" applyAlignment="1">
      <alignment horizontal="center" vertical="center" wrapText="1"/>
    </xf>
    <xf numFmtId="3" fontId="16" fillId="0" borderId="23" xfId="0" applyNumberFormat="1" applyFont="1" applyFill="1" applyBorder="1" applyAlignment="1">
      <alignment horizontal="center" vertical="center" wrapText="1"/>
    </xf>
    <xf numFmtId="4" fontId="16" fillId="0" borderId="23" xfId="0" applyNumberFormat="1" applyFont="1" applyFill="1" applyBorder="1" applyAlignment="1">
      <alignment horizontal="center" vertical="center" wrapText="1"/>
    </xf>
    <xf numFmtId="3" fontId="16" fillId="0" borderId="24" xfId="0" applyNumberFormat="1" applyFont="1" applyFill="1" applyBorder="1" applyAlignment="1">
      <alignment horizontal="center" vertical="center" wrapText="1"/>
    </xf>
    <xf numFmtId="3" fontId="18" fillId="0" borderId="21" xfId="0" applyNumberFormat="1" applyFont="1" applyFill="1" applyBorder="1" applyAlignment="1">
      <alignment horizontal="left" vertical="center" wrapText="1"/>
    </xf>
    <xf numFmtId="0" fontId="44" fillId="0" borderId="0" xfId="0" applyFont="1" applyBorder="1" applyAlignment="1">
      <alignment wrapText="1"/>
    </xf>
    <xf numFmtId="0" fontId="45" fillId="0" borderId="0"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4" fillId="0" borderId="0" xfId="0" applyFont="1" applyAlignment="1">
      <alignment wrapText="1"/>
    </xf>
    <xf numFmtId="0" fontId="46" fillId="5" borderId="22" xfId="0" applyFont="1" applyFill="1" applyBorder="1" applyAlignment="1">
      <alignment horizontal="center" vertical="center" wrapText="1"/>
    </xf>
    <xf numFmtId="0" fontId="46" fillId="5" borderId="23" xfId="0" applyFont="1" applyFill="1" applyBorder="1" applyAlignment="1">
      <alignment horizontal="center" vertical="center" wrapText="1"/>
    </xf>
    <xf numFmtId="0" fontId="46" fillId="5"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9" fontId="44" fillId="0" borderId="30" xfId="0" applyNumberFormat="1" applyFont="1" applyFill="1" applyBorder="1" applyAlignment="1">
      <alignment horizontal="center" vertical="center"/>
    </xf>
    <xf numFmtId="2" fontId="44" fillId="0" borderId="31" xfId="0" applyNumberFormat="1" applyFont="1" applyFill="1" applyBorder="1" applyAlignment="1">
      <alignment horizontal="center" vertical="center" wrapText="1"/>
    </xf>
    <xf numFmtId="2" fontId="44" fillId="0" borderId="25" xfId="0" applyNumberFormat="1" applyFont="1" applyFill="1" applyBorder="1" applyAlignment="1">
      <alignment horizontal="center" vertical="center" wrapText="1"/>
    </xf>
    <xf numFmtId="2" fontId="44" fillId="0" borderId="26" xfId="0" applyNumberFormat="1" applyFont="1" applyFill="1" applyBorder="1" applyAlignment="1">
      <alignment horizontal="center" vertical="center" wrapText="1"/>
    </xf>
    <xf numFmtId="0" fontId="44" fillId="0" borderId="0" xfId="0" applyFont="1" applyFill="1" applyAlignment="1">
      <alignment wrapText="1"/>
    </xf>
    <xf numFmtId="0" fontId="44" fillId="0" borderId="16" xfId="0" applyFont="1" applyFill="1" applyBorder="1" applyAlignment="1">
      <alignment horizontal="center" vertical="center" wrapText="1"/>
    </xf>
    <xf numFmtId="0" fontId="44" fillId="0" borderId="28" xfId="0" applyFont="1" applyFill="1" applyBorder="1" applyAlignment="1">
      <alignment horizontal="center" vertical="center" wrapText="1"/>
    </xf>
    <xf numFmtId="9" fontId="44" fillId="0" borderId="28" xfId="0" applyNumberFormat="1" applyFont="1" applyFill="1" applyBorder="1" applyAlignment="1">
      <alignment horizontal="center" vertical="center"/>
    </xf>
    <xf numFmtId="2" fontId="44" fillId="0" borderId="20" xfId="0" applyNumberFormat="1" applyFont="1" applyFill="1" applyBorder="1" applyAlignment="1">
      <alignment horizontal="center" vertical="center" wrapText="1"/>
    </xf>
    <xf numFmtId="2" fontId="44" fillId="0" borderId="16" xfId="0" applyNumberFormat="1" applyFont="1" applyFill="1" applyBorder="1" applyAlignment="1">
      <alignment horizontal="center" vertical="center" wrapText="1"/>
    </xf>
    <xf numFmtId="2" fontId="44" fillId="0" borderId="16" xfId="0" applyNumberFormat="1" applyFont="1" applyFill="1" applyBorder="1" applyAlignment="1">
      <alignment horizontal="center" vertical="center" wrapText="1"/>
    </xf>
    <xf numFmtId="2" fontId="44" fillId="0" borderId="21" xfId="0" applyNumberFormat="1" applyFont="1" applyFill="1" applyBorder="1" applyAlignment="1">
      <alignment horizontal="center" vertical="center" wrapText="1"/>
    </xf>
    <xf numFmtId="0" fontId="44" fillId="0" borderId="32" xfId="0" applyFont="1" applyFill="1" applyBorder="1" applyAlignment="1">
      <alignment wrapText="1"/>
    </xf>
    <xf numFmtId="0" fontId="44" fillId="0" borderId="28" xfId="0" applyFont="1" applyFill="1" applyBorder="1" applyAlignment="1">
      <alignment horizontal="center" vertical="center"/>
    </xf>
    <xf numFmtId="0" fontId="44" fillId="0" borderId="28" xfId="0" applyFont="1" applyFill="1" applyBorder="1" applyAlignment="1">
      <alignment horizontal="center" vertical="center"/>
    </xf>
    <xf numFmtId="0" fontId="44" fillId="0" borderId="23" xfId="0" applyFont="1" applyFill="1" applyBorder="1" applyAlignment="1">
      <alignment horizontal="center" vertical="center" wrapText="1"/>
    </xf>
    <xf numFmtId="0" fontId="44" fillId="0" borderId="33" xfId="0" applyFont="1" applyFill="1" applyBorder="1" applyAlignment="1">
      <alignment horizontal="center" vertical="center"/>
    </xf>
    <xf numFmtId="2" fontId="44" fillId="0" borderId="22" xfId="0" applyNumberFormat="1" applyFont="1" applyFill="1" applyBorder="1" applyAlignment="1">
      <alignment horizontal="center" vertical="center" wrapText="1"/>
    </xf>
    <xf numFmtId="2" fontId="44" fillId="0" borderId="23" xfId="0" applyNumberFormat="1" applyFont="1" applyFill="1" applyBorder="1" applyAlignment="1">
      <alignment horizontal="center" vertical="center" wrapText="1"/>
    </xf>
    <xf numFmtId="167" fontId="44" fillId="0" borderId="23" xfId="0" applyNumberFormat="1" applyFont="1" applyFill="1" applyBorder="1" applyAlignment="1">
      <alignment horizontal="center" vertical="center" wrapText="1"/>
    </xf>
    <xf numFmtId="2" fontId="44" fillId="0" borderId="24" xfId="0" applyNumberFormat="1" applyFont="1" applyFill="1" applyBorder="1" applyAlignment="1">
      <alignment horizontal="center" vertical="center" wrapText="1"/>
    </xf>
    <xf numFmtId="0" fontId="44" fillId="0" borderId="34" xfId="0" applyFont="1" applyFill="1" applyBorder="1" applyAlignment="1">
      <alignment wrapText="1"/>
    </xf>
    <xf numFmtId="0" fontId="44" fillId="0" borderId="0" xfId="0" applyFont="1" applyAlignment="1">
      <alignment horizontal="left"/>
    </xf>
    <xf numFmtId="0" fontId="44" fillId="0" borderId="0" xfId="0" applyFont="1" applyAlignment="1">
      <alignment horizontal="center" wrapText="1"/>
    </xf>
    <xf numFmtId="0" fontId="44" fillId="0" borderId="25" xfId="0" applyFont="1" applyFill="1" applyBorder="1" applyAlignment="1">
      <alignment horizontal="center" vertical="center" wrapText="1"/>
    </xf>
    <xf numFmtId="9" fontId="44" fillId="0" borderId="30" xfId="0" applyNumberFormat="1" applyFont="1" applyFill="1" applyBorder="1" applyAlignment="1">
      <alignment horizontal="center" vertical="center"/>
    </xf>
    <xf numFmtId="4" fontId="44" fillId="0" borderId="31" xfId="0" applyNumberFormat="1" applyFont="1" applyFill="1" applyBorder="1" applyAlignment="1">
      <alignment horizontal="center" vertical="center" wrapText="1"/>
    </xf>
    <xf numFmtId="0" fontId="44" fillId="0" borderId="25" xfId="0" applyFont="1" applyFill="1" applyBorder="1" applyAlignment="1">
      <alignment vertical="center" wrapText="1"/>
    </xf>
    <xf numFmtId="0" fontId="44" fillId="0" borderId="26" xfId="0" applyFont="1" applyFill="1" applyBorder="1" applyAlignment="1">
      <alignment vertical="center" wrapText="1"/>
    </xf>
    <xf numFmtId="0" fontId="44" fillId="0" borderId="16" xfId="0" applyFont="1" applyFill="1" applyBorder="1" applyAlignment="1">
      <alignment horizontal="center" vertical="center" wrapText="1"/>
    </xf>
    <xf numFmtId="0" fontId="44" fillId="0" borderId="16" xfId="0" applyFont="1" applyFill="1" applyBorder="1" applyAlignment="1">
      <alignment vertical="center" wrapText="1"/>
    </xf>
    <xf numFmtId="0" fontId="44" fillId="0" borderId="21" xfId="0" applyFont="1" applyFill="1" applyBorder="1" applyAlignment="1">
      <alignment vertical="center" wrapText="1"/>
    </xf>
    <xf numFmtId="2" fontId="44" fillId="0" borderId="20" xfId="0" applyNumberFormat="1" applyFont="1" applyFill="1" applyBorder="1" applyAlignment="1">
      <alignment horizontal="center" vertical="center" wrapText="1"/>
    </xf>
    <xf numFmtId="167" fontId="44" fillId="0" borderId="16" xfId="0" applyNumberFormat="1" applyFont="1" applyFill="1" applyBorder="1" applyAlignment="1">
      <alignment horizontal="center" vertical="center" wrapText="1"/>
    </xf>
    <xf numFmtId="2" fontId="44" fillId="0" borderId="21" xfId="0" applyNumberFormat="1" applyFont="1" applyFill="1" applyBorder="1" applyAlignment="1">
      <alignment horizontal="center" vertical="center" wrapText="1"/>
    </xf>
    <xf numFmtId="167" fontId="44" fillId="0" borderId="21" xfId="0" applyNumberFormat="1"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2" fontId="44" fillId="0" borderId="22" xfId="0" applyNumberFormat="1" applyFont="1" applyFill="1" applyBorder="1" applyAlignment="1">
      <alignment horizontal="center" vertical="center" wrapText="1"/>
    </xf>
    <xf numFmtId="2" fontId="44" fillId="0" borderId="23" xfId="0" applyNumberFormat="1" applyFont="1" applyFill="1" applyBorder="1" applyAlignment="1">
      <alignment horizontal="center" vertical="center" wrapText="1"/>
    </xf>
    <xf numFmtId="168" fontId="44" fillId="0" borderId="23" xfId="0" applyNumberFormat="1" applyFont="1" applyFill="1" applyBorder="1" applyAlignment="1">
      <alignment horizontal="center" vertical="center" wrapText="1"/>
    </xf>
    <xf numFmtId="2" fontId="44" fillId="0" borderId="24" xfId="0" applyNumberFormat="1" applyFont="1" applyFill="1" applyBorder="1" applyAlignment="1">
      <alignment horizontal="center" vertical="center" wrapText="1"/>
    </xf>
    <xf numFmtId="0" fontId="44" fillId="0" borderId="0" xfId="0" applyFont="1" applyBorder="1" applyAlignment="1">
      <alignment vertical="center" wrapText="1"/>
    </xf>
    <xf numFmtId="11" fontId="44" fillId="0" borderId="25" xfId="0" applyNumberFormat="1" applyFont="1" applyFill="1" applyBorder="1" applyAlignment="1">
      <alignment horizontal="center" vertical="center" wrapText="1"/>
    </xf>
    <xf numFmtId="11" fontId="44" fillId="0" borderId="16" xfId="0" applyNumberFormat="1" applyFont="1" applyFill="1" applyBorder="1" applyAlignment="1">
      <alignment horizontal="center" vertical="center" wrapText="1"/>
    </xf>
    <xf numFmtId="165" fontId="44" fillId="0" borderId="23" xfId="0" applyNumberFormat="1" applyFont="1" applyFill="1" applyBorder="1" applyAlignment="1">
      <alignment horizontal="center" vertical="center" wrapText="1"/>
    </xf>
    <xf numFmtId="0" fontId="44" fillId="0" borderId="35" xfId="0" applyFont="1" applyFill="1" applyBorder="1" applyAlignment="1">
      <alignment vertical="center" wrapText="1"/>
    </xf>
    <xf numFmtId="0" fontId="19" fillId="5" borderId="36" xfId="0" applyFont="1" applyFill="1" applyBorder="1" applyAlignment="1">
      <alignment vertical="center"/>
    </xf>
    <xf numFmtId="0" fontId="18" fillId="5" borderId="37" xfId="0" applyFont="1" applyFill="1" applyBorder="1" applyAlignment="1">
      <alignment vertical="center" wrapText="1"/>
    </xf>
    <xf numFmtId="0" fontId="19" fillId="5" borderId="38"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0" fillId="0" borderId="39" xfId="0" applyFont="1" applyBorder="1" applyAlignment="1">
      <alignment/>
    </xf>
    <xf numFmtId="0" fontId="0" fillId="0" borderId="9" xfId="0" applyFont="1" applyBorder="1" applyAlignment="1">
      <alignment/>
    </xf>
    <xf numFmtId="0" fontId="0" fillId="0" borderId="39" xfId="0" applyFont="1" applyBorder="1" applyAlignment="1">
      <alignment/>
    </xf>
    <xf numFmtId="0" fontId="0" fillId="0" borderId="28" xfId="0" applyFont="1" applyBorder="1" applyAlignment="1">
      <alignment/>
    </xf>
    <xf numFmtId="0" fontId="18" fillId="0" borderId="0" xfId="0" applyFont="1" applyFill="1" applyAlignment="1">
      <alignment horizontal="left" wrapText="1"/>
    </xf>
    <xf numFmtId="0" fontId="0" fillId="0" borderId="0" xfId="0" applyAlignment="1">
      <alignment wrapText="1"/>
    </xf>
    <xf numFmtId="0" fontId="19" fillId="0" borderId="40" xfId="0" applyFont="1" applyFill="1" applyBorder="1" applyAlignment="1">
      <alignment horizontal="left" vertical="center"/>
    </xf>
    <xf numFmtId="0" fontId="19" fillId="0" borderId="41" xfId="0" applyFont="1" applyFill="1" applyBorder="1" applyAlignment="1">
      <alignment horizontal="left" vertical="center"/>
    </xf>
    <xf numFmtId="0" fontId="19" fillId="0" borderId="42"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28" xfId="0" applyFont="1" applyBorder="1" applyAlignment="1">
      <alignment/>
    </xf>
    <xf numFmtId="0" fontId="0" fillId="0" borderId="9" xfId="0" applyFont="1" applyBorder="1" applyAlignment="1">
      <alignment/>
    </xf>
    <xf numFmtId="0" fontId="2" fillId="0" borderId="16" xfId="0" applyFont="1" applyBorder="1" applyAlignment="1">
      <alignment horizontal="center" vertical="center"/>
    </xf>
    <xf numFmtId="0" fontId="2" fillId="0" borderId="9" xfId="0" applyFont="1" applyFill="1" applyBorder="1" applyAlignment="1">
      <alignment horizontal="center" vertical="center"/>
    </xf>
    <xf numFmtId="0" fontId="2" fillId="0" borderId="39" xfId="0" applyFont="1" applyBorder="1" applyAlignment="1">
      <alignment horizontal="center" vertical="center"/>
    </xf>
    <xf numFmtId="0" fontId="44" fillId="0" borderId="32" xfId="0" applyFont="1" applyFill="1" applyBorder="1" applyAlignment="1">
      <alignment vertical="center" wrapText="1"/>
    </xf>
    <xf numFmtId="0" fontId="2" fillId="0" borderId="9" xfId="62" applyFont="1" applyFill="1" applyBorder="1" applyAlignment="1">
      <alignment horizontal="center" wrapText="1"/>
      <protection/>
    </xf>
    <xf numFmtId="0" fontId="2" fillId="0" borderId="0" xfId="62" applyFont="1" applyFill="1" applyBorder="1" applyAlignment="1">
      <alignment horizontal="center" wrapText="1"/>
      <protection/>
    </xf>
    <xf numFmtId="0" fontId="2" fillId="0" borderId="12" xfId="62" applyFont="1" applyFill="1" applyBorder="1" applyAlignment="1">
      <alignment horizontal="center" wrapText="1"/>
      <protection/>
    </xf>
    <xf numFmtId="0" fontId="2" fillId="0" borderId="0" xfId="62" applyFont="1" applyFill="1" applyBorder="1" applyAlignment="1">
      <alignment horizontal="center"/>
      <protection/>
    </xf>
    <xf numFmtId="0" fontId="2" fillId="0" borderId="12" xfId="62" applyFont="1" applyFill="1" applyBorder="1" applyAlignment="1">
      <alignment horizontal="center"/>
      <protection/>
    </xf>
    <xf numFmtId="0" fontId="2" fillId="0" borderId="19" xfId="62" applyFont="1" applyFill="1" applyBorder="1" applyAlignment="1">
      <alignment horizontal="center" wrapText="1"/>
      <protection/>
    </xf>
    <xf numFmtId="0" fontId="2" fillId="0" borderId="43" xfId="62" applyFont="1" applyFill="1" applyBorder="1" applyAlignment="1">
      <alignment horizontal="center" wrapText="1"/>
      <protection/>
    </xf>
    <xf numFmtId="0" fontId="2" fillId="0" borderId="44" xfId="62" applyFont="1" applyFill="1" applyBorder="1" applyAlignment="1">
      <alignment horizontal="center"/>
      <protection/>
    </xf>
    <xf numFmtId="0" fontId="2" fillId="0" borderId="18" xfId="62" applyFont="1" applyFill="1" applyBorder="1" applyAlignment="1">
      <alignment horizontal="center"/>
      <protection/>
    </xf>
    <xf numFmtId="0" fontId="2" fillId="0" borderId="13" xfId="62" applyFont="1" applyFill="1" applyBorder="1" applyAlignment="1">
      <alignment horizontal="center" wrapText="1"/>
      <protection/>
    </xf>
    <xf numFmtId="0" fontId="2" fillId="0" borderId="17" xfId="62" applyFont="1" applyFill="1" applyBorder="1" applyAlignment="1">
      <alignment horizontal="center" wrapText="1"/>
      <protection/>
    </xf>
    <xf numFmtId="0" fontId="2" fillId="0" borderId="0" xfId="62" applyFont="1" applyFill="1" applyBorder="1" applyAlignment="1">
      <alignment horizontal="center" wrapText="1"/>
      <protection/>
    </xf>
    <xf numFmtId="0" fontId="2" fillId="0" borderId="0" xfId="62" applyFont="1" applyFill="1" applyBorder="1" applyAlignment="1">
      <alignment horizontal="center"/>
      <protection/>
    </xf>
    <xf numFmtId="0" fontId="2" fillId="0" borderId="12" xfId="62" applyFont="1" applyFill="1" applyBorder="1" applyAlignment="1">
      <alignment horizontal="center"/>
      <protection/>
    </xf>
    <xf numFmtId="0" fontId="2" fillId="0" borderId="12" xfId="62" applyFont="1" applyFill="1" applyBorder="1" applyAlignment="1">
      <alignment horizontal="center" wrapText="1"/>
      <protection/>
    </xf>
    <xf numFmtId="0" fontId="2" fillId="0" borderId="16" xfId="0" applyFont="1" applyFill="1" applyBorder="1" applyAlignment="1">
      <alignment horizontal="center"/>
    </xf>
    <xf numFmtId="0" fontId="0" fillId="0" borderId="28" xfId="0" applyFont="1" applyBorder="1" applyAlignment="1">
      <alignment/>
    </xf>
    <xf numFmtId="0" fontId="0" fillId="0" borderId="9" xfId="0" applyBorder="1" applyAlignment="1">
      <alignment/>
    </xf>
    <xf numFmtId="0" fontId="0" fillId="0" borderId="39" xfId="0" applyBorder="1" applyAlignment="1">
      <alignment/>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9" xfId="0" applyFont="1" applyBorder="1" applyAlignment="1">
      <alignment horizontal="center"/>
    </xf>
    <xf numFmtId="0" fontId="2" fillId="0" borderId="43" xfId="0" applyFont="1" applyBorder="1" applyAlignment="1">
      <alignment horizontal="center"/>
    </xf>
    <xf numFmtId="0" fontId="2" fillId="0" borderId="16" xfId="0" applyFont="1" applyBorder="1" applyAlignment="1">
      <alignment horizontal="center"/>
    </xf>
    <xf numFmtId="0" fontId="2" fillId="0" borderId="16" xfId="0" applyFont="1" applyBorder="1" applyAlignment="1">
      <alignment/>
    </xf>
    <xf numFmtId="0" fontId="0" fillId="0" borderId="16" xfId="0" applyBorder="1" applyAlignment="1">
      <alignment/>
    </xf>
    <xf numFmtId="0" fontId="15" fillId="0" borderId="28" xfId="0" applyFont="1" applyBorder="1" applyAlignment="1">
      <alignment/>
    </xf>
    <xf numFmtId="0" fontId="2" fillId="0" borderId="14" xfId="0" applyFont="1" applyBorder="1" applyAlignment="1">
      <alignment horizontal="center"/>
    </xf>
    <xf numFmtId="0" fontId="2" fillId="0" borderId="28" xfId="0" applyFont="1" applyBorder="1" applyAlignment="1">
      <alignment horizontal="center" vertical="center"/>
    </xf>
    <xf numFmtId="0" fontId="2" fillId="0" borderId="9" xfId="0" applyFont="1" applyBorder="1" applyAlignment="1">
      <alignment horizontal="center" vertical="center"/>
    </xf>
    <xf numFmtId="0" fontId="18" fillId="0" borderId="45"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48"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50" xfId="0" applyFont="1" applyFill="1" applyBorder="1" applyAlignment="1">
      <alignment horizontal="left" vertical="center"/>
    </xf>
    <xf numFmtId="0" fontId="18" fillId="0" borderId="51" xfId="0" applyFont="1" applyFill="1" applyBorder="1" applyAlignment="1">
      <alignment horizontal="left" vertical="center" wrapText="1"/>
    </xf>
    <xf numFmtId="0" fontId="18" fillId="0" borderId="14" xfId="0" applyFont="1" applyFill="1" applyBorder="1" applyAlignment="1">
      <alignment vertical="center" wrapText="1"/>
    </xf>
    <xf numFmtId="0" fontId="18" fillId="0" borderId="45" xfId="0" applyFont="1" applyFill="1" applyBorder="1" applyAlignment="1">
      <alignment vertical="center" wrapText="1"/>
    </xf>
    <xf numFmtId="0" fontId="18" fillId="0" borderId="15" xfId="0" applyFont="1" applyFill="1" applyBorder="1" applyAlignment="1">
      <alignment vertical="center" wrapText="1"/>
    </xf>
    <xf numFmtId="0" fontId="18" fillId="0" borderId="52" xfId="0" applyFont="1" applyFill="1" applyBorder="1" applyAlignment="1">
      <alignment vertical="center" wrapText="1"/>
    </xf>
    <xf numFmtId="0" fontId="0" fillId="0" borderId="15" xfId="0" applyBorder="1" applyAlignment="1">
      <alignment vertical="center" wrapText="1"/>
    </xf>
    <xf numFmtId="0" fontId="18" fillId="0" borderId="53" xfId="0" applyFont="1" applyFill="1" applyBorder="1" applyAlignment="1">
      <alignment horizontal="left" vertical="center" wrapText="1"/>
    </xf>
    <xf numFmtId="0" fontId="0" fillId="0" borderId="54" xfId="0" applyBorder="1" applyAlignment="1">
      <alignment horizontal="left" vertical="center" wrapText="1"/>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17" fillId="5" borderId="31"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6" fillId="0" borderId="0" xfId="0" applyFont="1" applyBorder="1" applyAlignment="1">
      <alignment horizontal="left" vertical="center" wrapText="1"/>
    </xf>
    <xf numFmtId="11" fontId="16" fillId="0" borderId="25" xfId="0" applyNumberFormat="1" applyFont="1" applyFill="1" applyBorder="1" applyAlignment="1">
      <alignment horizontal="center" vertical="center"/>
    </xf>
    <xf numFmtId="11" fontId="16" fillId="0" borderId="16" xfId="0" applyNumberFormat="1" applyFont="1" applyFill="1" applyBorder="1" applyAlignment="1">
      <alignment horizontal="center" vertical="center"/>
    </xf>
    <xf numFmtId="0" fontId="16" fillId="0" borderId="26"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7" fillId="5" borderId="33" xfId="0" applyFont="1" applyFill="1" applyBorder="1" applyAlignment="1">
      <alignment horizontal="center" vertical="center" wrapText="1"/>
    </xf>
    <xf numFmtId="168" fontId="26" fillId="0" borderId="20" xfId="0" applyNumberFormat="1" applyFont="1" applyFill="1" applyBorder="1" applyAlignment="1">
      <alignment horizontal="center" vertical="center"/>
    </xf>
    <xf numFmtId="168" fontId="26" fillId="0" borderId="31" xfId="0" applyNumberFormat="1" applyFont="1" applyFill="1" applyBorder="1" applyAlignment="1">
      <alignment horizontal="center" vertical="center"/>
    </xf>
    <xf numFmtId="0" fontId="17" fillId="5" borderId="22"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3" fontId="16" fillId="0" borderId="27" xfId="0" applyNumberFormat="1" applyFont="1" applyFill="1" applyBorder="1" applyAlignment="1">
      <alignment horizontal="center" vertical="center" wrapText="1"/>
    </xf>
    <xf numFmtId="3" fontId="16" fillId="0" borderId="56" xfId="0" applyNumberFormat="1" applyFont="1" applyFill="1" applyBorder="1" applyAlignment="1">
      <alignment horizontal="center" vertical="center" wrapText="1"/>
    </xf>
    <xf numFmtId="167" fontId="16" fillId="0" borderId="16" xfId="0" applyNumberFormat="1" applyFont="1" applyFill="1" applyBorder="1" applyAlignment="1">
      <alignment horizontal="center" vertical="center" wrapText="1"/>
    </xf>
    <xf numFmtId="167" fontId="16" fillId="0" borderId="23" xfId="0" applyNumberFormat="1"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44" fillId="0" borderId="57" xfId="0" applyFont="1" applyFill="1" applyBorder="1" applyAlignment="1">
      <alignment horizontal="center" vertical="center" wrapText="1"/>
    </xf>
    <xf numFmtId="0" fontId="44" fillId="0" borderId="58" xfId="0" applyFont="1" applyFill="1" applyBorder="1" applyAlignment="1">
      <alignment horizontal="center" vertical="center" wrapText="1"/>
    </xf>
    <xf numFmtId="0" fontId="44" fillId="0" borderId="59" xfId="0" applyFont="1" applyFill="1" applyBorder="1" applyAlignment="1">
      <alignment horizontal="center" vertical="center" wrapText="1"/>
    </xf>
    <xf numFmtId="0" fontId="44" fillId="0" borderId="40" xfId="0" applyFont="1" applyFill="1" applyBorder="1" applyAlignment="1">
      <alignment horizontal="center" vertical="center" wrapText="1"/>
    </xf>
    <xf numFmtId="0" fontId="44" fillId="0" borderId="41" xfId="0" applyFont="1" applyFill="1" applyBorder="1" applyAlignment="1">
      <alignment horizontal="center" vertical="center" wrapText="1"/>
    </xf>
    <xf numFmtId="0" fontId="44" fillId="0" borderId="5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45" xfId="0" applyFont="1" applyFill="1" applyBorder="1" applyAlignment="1">
      <alignment horizontal="center" vertical="center" wrapText="1"/>
    </xf>
    <xf numFmtId="0" fontId="44" fillId="0" borderId="51" xfId="0" applyFont="1" applyFill="1" applyBorder="1" applyAlignment="1">
      <alignment horizontal="center" vertical="center" wrapText="1"/>
    </xf>
    <xf numFmtId="3" fontId="44" fillId="0" borderId="14" xfId="0" applyNumberFormat="1" applyFont="1" applyFill="1" applyBorder="1" applyAlignment="1">
      <alignment horizontal="center" vertical="center" wrapText="1"/>
    </xf>
    <xf numFmtId="3" fontId="44" fillId="0" borderId="45" xfId="0" applyNumberFormat="1" applyFont="1" applyFill="1" applyBorder="1" applyAlignment="1">
      <alignment horizontal="center" vertical="center" wrapText="1"/>
    </xf>
    <xf numFmtId="3" fontId="44" fillId="0" borderId="51" xfId="0" applyNumberFormat="1" applyFont="1" applyFill="1" applyBorder="1" applyAlignment="1">
      <alignment horizontal="center" vertical="center" wrapText="1"/>
    </xf>
    <xf numFmtId="0" fontId="44" fillId="0" borderId="49"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0" borderId="52" xfId="0" applyFont="1" applyFill="1" applyBorder="1" applyAlignment="1">
      <alignment horizontal="center" vertical="center" wrapText="1"/>
    </xf>
    <xf numFmtId="0" fontId="44" fillId="0" borderId="15" xfId="0" applyFont="1" applyFill="1" applyBorder="1" applyAlignment="1">
      <alignment horizontal="center" vertical="center" wrapText="1"/>
    </xf>
    <xf numFmtId="3" fontId="44" fillId="0" borderId="52" xfId="0" applyNumberFormat="1" applyFont="1" applyFill="1" applyBorder="1" applyAlignment="1">
      <alignment horizontal="center" vertical="center" wrapText="1"/>
    </xf>
    <xf numFmtId="3" fontId="44" fillId="0" borderId="45" xfId="0" applyNumberFormat="1" applyFont="1" applyFill="1" applyBorder="1" applyAlignment="1">
      <alignment horizontal="center" vertical="center" wrapText="1"/>
    </xf>
    <xf numFmtId="3" fontId="44" fillId="0" borderId="15" xfId="0" applyNumberFormat="1" applyFont="1" applyFill="1" applyBorder="1" applyAlignment="1">
      <alignment horizontal="center" vertical="center" wrapText="1"/>
    </xf>
    <xf numFmtId="0" fontId="46" fillId="5" borderId="52" xfId="0" applyFont="1" applyFill="1" applyBorder="1" applyAlignment="1">
      <alignment horizontal="center" vertical="center" wrapText="1"/>
    </xf>
    <xf numFmtId="0" fontId="46" fillId="5" borderId="51" xfId="0" applyFont="1" applyFill="1" applyBorder="1" applyAlignment="1">
      <alignment horizontal="center" vertical="center" wrapText="1"/>
    </xf>
    <xf numFmtId="0" fontId="46" fillId="5" borderId="57" xfId="0" applyFont="1" applyFill="1" applyBorder="1" applyAlignment="1">
      <alignment horizontal="center" vertical="center" wrapText="1"/>
    </xf>
    <xf numFmtId="0" fontId="46" fillId="5" borderId="60" xfId="0" applyFont="1" applyFill="1" applyBorder="1" applyAlignment="1">
      <alignment horizontal="center" vertical="center" wrapText="1"/>
    </xf>
    <xf numFmtId="0" fontId="46" fillId="5" borderId="31" xfId="0" applyFont="1" applyFill="1" applyBorder="1" applyAlignment="1">
      <alignment horizontal="center" vertical="center" wrapText="1"/>
    </xf>
    <xf numFmtId="0" fontId="46" fillId="5" borderId="25" xfId="0" applyFont="1" applyFill="1" applyBorder="1" applyAlignment="1">
      <alignment horizontal="center" vertical="center" wrapText="1"/>
    </xf>
    <xf numFmtId="0" fontId="46" fillId="5" borderId="52" xfId="0" applyFont="1" applyFill="1" applyBorder="1" applyAlignment="1">
      <alignment horizontal="center" vertical="center" wrapText="1"/>
    </xf>
    <xf numFmtId="0" fontId="46" fillId="5" borderId="51" xfId="0" applyFont="1" applyFill="1" applyBorder="1" applyAlignment="1">
      <alignment horizontal="center" vertical="center" wrapText="1"/>
    </xf>
    <xf numFmtId="3" fontId="44" fillId="0" borderId="52" xfId="0" applyNumberFormat="1" applyFont="1" applyFill="1" applyBorder="1" applyAlignment="1">
      <alignment horizontal="center" vertical="center" wrapText="1"/>
    </xf>
    <xf numFmtId="3" fontId="44" fillId="0" borderId="15" xfId="0" applyNumberFormat="1" applyFont="1" applyFill="1" applyBorder="1" applyAlignment="1">
      <alignment horizontal="center" vertical="center" wrapText="1"/>
    </xf>
    <xf numFmtId="0" fontId="46" fillId="5" borderId="61" xfId="0" applyFont="1" applyFill="1" applyBorder="1" applyAlignment="1">
      <alignment horizontal="center" vertical="center" wrapText="1"/>
    </xf>
    <xf numFmtId="0" fontId="46" fillId="5" borderId="62" xfId="0" applyFont="1" applyFill="1" applyBorder="1" applyAlignment="1">
      <alignment horizontal="center" vertical="center" wrapText="1"/>
    </xf>
    <xf numFmtId="0" fontId="44" fillId="0" borderId="63" xfId="0" applyFont="1" applyFill="1" applyBorder="1" applyAlignment="1">
      <alignment horizontal="center" vertical="center" wrapText="1"/>
    </xf>
    <xf numFmtId="0" fontId="44" fillId="0" borderId="58" xfId="0" applyFont="1" applyFill="1" applyBorder="1" applyAlignment="1">
      <alignment horizontal="center" vertical="center" wrapText="1"/>
    </xf>
    <xf numFmtId="0" fontId="44" fillId="0" borderId="60" xfId="0" applyFont="1" applyFill="1" applyBorder="1" applyAlignment="1">
      <alignment horizontal="center" vertical="center" wrapText="1"/>
    </xf>
    <xf numFmtId="0" fontId="46" fillId="5" borderId="61" xfId="0" applyFont="1" applyFill="1" applyBorder="1" applyAlignment="1">
      <alignment horizontal="center" vertical="center" wrapText="1"/>
    </xf>
    <xf numFmtId="0" fontId="46" fillId="5" borderId="62" xfId="0" applyFont="1" applyFill="1" applyBorder="1" applyAlignment="1">
      <alignment horizontal="center" vertical="center" wrapText="1"/>
    </xf>
    <xf numFmtId="0" fontId="44" fillId="0" borderId="61"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6" fillId="5" borderId="64" xfId="0" applyFont="1" applyFill="1" applyBorder="1" applyAlignment="1">
      <alignment horizontal="center" vertical="center" wrapText="1"/>
    </xf>
    <xf numFmtId="0" fontId="46" fillId="5" borderId="65" xfId="0" applyFont="1" applyFill="1" applyBorder="1" applyAlignment="1">
      <alignment horizontal="center" vertical="center" wrapText="1"/>
    </xf>
    <xf numFmtId="0" fontId="46" fillId="5" borderId="55"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62" xfId="0" applyFont="1" applyFill="1" applyBorder="1" applyAlignment="1">
      <alignment horizontal="center" vertical="center" wrapText="1"/>
    </xf>
    <xf numFmtId="0" fontId="0" fillId="0" borderId="9" xfId="0" applyFont="1" applyBorder="1" applyAlignment="1">
      <alignment/>
    </xf>
    <xf numFmtId="0" fontId="0" fillId="0" borderId="39" xfId="0" applyFont="1" applyBorder="1" applyAlignment="1">
      <alignment/>
    </xf>
    <xf numFmtId="0" fontId="2" fillId="0" borderId="28" xfId="0" applyFont="1" applyBorder="1" applyAlignment="1">
      <alignment horizontal="center"/>
    </xf>
    <xf numFmtId="0" fontId="2" fillId="0" borderId="39" xfId="0" applyFont="1" applyBorder="1" applyAlignment="1">
      <alignment horizontal="center"/>
    </xf>
    <xf numFmtId="0" fontId="0" fillId="19" borderId="16" xfId="0" applyFont="1" applyFill="1" applyBorder="1" applyAlignment="1">
      <alignment horizontal="center"/>
    </xf>
  </cellXfs>
  <cellStyles count="58">
    <cellStyle name="Normal" xfId="0"/>
    <cellStyle name="_x0013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uro" xfId="47"/>
    <cellStyle name="Exhibit--Number" xfId="48"/>
    <cellStyle name="Exhibit--Style" xfId="49"/>
    <cellStyle name="Exhibit--Title"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IPP_EI_Rev12_05-13-03_(revised_final)" xfId="62"/>
    <cellStyle name="Normal_SRP-CGS Emissions Calculations" xfId="63"/>
    <cellStyle name="Note" xfId="64"/>
    <cellStyle name="Output" xfId="65"/>
    <cellStyle name="Percent" xfId="66"/>
    <cellStyle name="Table Head" xfId="67"/>
    <cellStyle name="Table Notes"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iogrande\Proj\Kinder%20Morgan\Personal%20KM%20Folders\Prabhat's%20KM%20Folder\Permit%20application\Kinder%20Morgan%20PTE%20Landing%20Los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FR with Heel"/>
      <sheetName val="EFR with Heel"/>
      <sheetName val="Drain-Dry Tank"/>
    </sheetNames>
    <sheetDataSet>
      <sheetData sheetId="0">
        <row r="90">
          <cell r="Z90" t="str">
            <v>Gasoline RVP 15</v>
          </cell>
          <cell r="AA90">
            <v>5.6</v>
          </cell>
          <cell r="AB90">
            <v>92</v>
          </cell>
          <cell r="AC90">
            <v>59.3</v>
          </cell>
          <cell r="AD90">
            <v>15</v>
          </cell>
          <cell r="AE90">
            <v>3</v>
          </cell>
          <cell r="AF90">
            <v>11.599877933347765</v>
          </cell>
          <cell r="AG90">
            <v>4937.930606030463</v>
          </cell>
        </row>
        <row r="91">
          <cell r="Z91" t="str">
            <v>Gasoline RVP 13.5</v>
          </cell>
          <cell r="AA91">
            <v>6</v>
          </cell>
          <cell r="AB91">
            <v>92</v>
          </cell>
          <cell r="AC91">
            <v>57.3</v>
          </cell>
          <cell r="AD91">
            <v>13.5</v>
          </cell>
          <cell r="AE91">
            <v>3</v>
          </cell>
          <cell r="AF91">
            <v>11.632127452812064</v>
          </cell>
          <cell r="AG91">
            <v>5015.71512289368</v>
          </cell>
        </row>
        <row r="92">
          <cell r="Z92" t="str">
            <v>Gasoline RVP 13</v>
          </cell>
          <cell r="AA92">
            <v>5.6</v>
          </cell>
          <cell r="AB92">
            <v>92</v>
          </cell>
          <cell r="AC92">
            <v>62</v>
          </cell>
          <cell r="AD92">
            <v>13</v>
          </cell>
          <cell r="AE92">
            <v>3</v>
          </cell>
          <cell r="AF92">
            <v>11.643679289230791</v>
          </cell>
          <cell r="AG92">
            <v>5043.577678046114</v>
          </cell>
        </row>
        <row r="93">
          <cell r="Z93" t="str">
            <v>Gasoline RVP 11.5</v>
          </cell>
          <cell r="AA93">
            <v>5.6</v>
          </cell>
          <cell r="AB93">
            <v>92</v>
          </cell>
          <cell r="AC93">
            <v>64</v>
          </cell>
          <cell r="AD93">
            <v>11.5</v>
          </cell>
          <cell r="AE93">
            <v>3</v>
          </cell>
          <cell r="AF93">
            <v>11.68120630727924</v>
          </cell>
          <cell r="AG93">
            <v>5134.0913048133925</v>
          </cell>
        </row>
        <row r="94">
          <cell r="Z94" t="str">
            <v>Gasoline RVP 11</v>
          </cell>
          <cell r="AA94">
            <v>5.6</v>
          </cell>
          <cell r="AB94">
            <v>92</v>
          </cell>
          <cell r="AC94">
            <v>65</v>
          </cell>
          <cell r="AD94">
            <v>11</v>
          </cell>
          <cell r="AE94">
            <v>3</v>
          </cell>
          <cell r="AF94">
            <v>11.694812428825818</v>
          </cell>
          <cell r="AG94">
            <v>5166.908711350391</v>
          </cell>
        </row>
        <row r="95">
          <cell r="Z95" t="str">
            <v>Gasoline RVP 10</v>
          </cell>
          <cell r="AA95">
            <v>5.6</v>
          </cell>
          <cell r="AB95">
            <v>92</v>
          </cell>
          <cell r="AC95">
            <v>66</v>
          </cell>
          <cell r="AD95">
            <v>10</v>
          </cell>
          <cell r="AE95">
            <v>3</v>
          </cell>
          <cell r="AF95">
            <v>11.723985667771684</v>
          </cell>
          <cell r="AG95">
            <v>5237.273365907537</v>
          </cell>
        </row>
        <row r="96">
          <cell r="Z96" t="str">
            <v>Gasoline RVP 9</v>
          </cell>
          <cell r="AA96">
            <v>6</v>
          </cell>
          <cell r="AB96">
            <v>92</v>
          </cell>
          <cell r="AC96">
            <v>65</v>
          </cell>
          <cell r="AD96">
            <v>9</v>
          </cell>
          <cell r="AE96">
            <v>3</v>
          </cell>
          <cell r="AF96">
            <v>11.756235187235985</v>
          </cell>
          <cell r="AG96">
            <v>5315.057882770753</v>
          </cell>
        </row>
        <row r="97">
          <cell r="Z97" t="str">
            <v>Gasoline RVP 7</v>
          </cell>
          <cell r="AA97">
            <v>5.6</v>
          </cell>
          <cell r="AB97">
            <v>92</v>
          </cell>
          <cell r="AC97">
            <v>68</v>
          </cell>
          <cell r="AD97">
            <v>7</v>
          </cell>
          <cell r="AE97">
            <v>3</v>
          </cell>
          <cell r="AF97">
            <v>11.833159350865042</v>
          </cell>
          <cell r="AG97">
            <v>5500.595807130121</v>
          </cell>
        </row>
        <row r="98">
          <cell r="Z98" t="str">
            <v>Gasoline RVP 6</v>
          </cell>
          <cell r="AA98">
            <v>5.6</v>
          </cell>
          <cell r="AB98">
            <v>92</v>
          </cell>
          <cell r="AC98">
            <v>69</v>
          </cell>
          <cell r="AD98">
            <v>6</v>
          </cell>
          <cell r="AE98">
            <v>3</v>
          </cell>
          <cell r="AF98">
            <v>11.880342921659905</v>
          </cell>
          <cell r="AG98">
            <v>5614.400642647827</v>
          </cell>
        </row>
        <row r="99">
          <cell r="Z99" t="str">
            <v>Jet Naphtha JP-4</v>
          </cell>
          <cell r="AA99">
            <v>6.4</v>
          </cell>
          <cell r="AB99">
            <v>120</v>
          </cell>
          <cell r="AC99">
            <v>80</v>
          </cell>
          <cell r="AF99">
            <v>11.368</v>
          </cell>
          <cell r="AG99">
            <v>5784.3</v>
          </cell>
        </row>
        <row r="100">
          <cell r="Z100" t="str">
            <v>Jet Kerosene Jet A</v>
          </cell>
          <cell r="AA100">
            <v>7</v>
          </cell>
          <cell r="AB100">
            <v>162</v>
          </cell>
          <cell r="AC100">
            <v>130</v>
          </cell>
          <cell r="AF100">
            <v>12.39</v>
          </cell>
          <cell r="AG100">
            <v>8933</v>
          </cell>
        </row>
        <row r="101">
          <cell r="Z101" t="str">
            <v>Fuel Oil No. 2</v>
          </cell>
          <cell r="AA101">
            <v>7.1</v>
          </cell>
          <cell r="AB101">
            <v>188</v>
          </cell>
          <cell r="AC101">
            <v>130</v>
          </cell>
          <cell r="AF101">
            <v>12.101</v>
          </cell>
          <cell r="AG101">
            <v>8907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5:H87"/>
  <sheetViews>
    <sheetView zoomScale="85" zoomScaleNormal="85" zoomScalePageLayoutView="0" workbookViewId="0" topLeftCell="A5">
      <pane xSplit="1" ySplit="7" topLeftCell="B12" activePane="bottomRight" state="frozen"/>
      <selection pane="topLeft" activeCell="B1" sqref="A1:IV1"/>
      <selection pane="topRight" activeCell="B1" sqref="A1:IV1"/>
      <selection pane="bottomLeft" activeCell="B1" sqref="A1:IV1"/>
      <selection pane="bottomRight" activeCell="A5" sqref="A5"/>
    </sheetView>
  </sheetViews>
  <sheetFormatPr defaultColWidth="9.140625" defaultRowHeight="12"/>
  <cols>
    <col min="1" max="1" width="31.140625" style="2" customWidth="1"/>
    <col min="2" max="5" width="13.7109375" style="2" customWidth="1"/>
    <col min="6" max="6" width="115.00390625" style="18" customWidth="1"/>
    <col min="7" max="7" width="9.8515625" style="2" customWidth="1"/>
    <col min="8" max="8" width="9.421875" style="2" customWidth="1"/>
    <col min="9" max="16384" width="9.140625" style="2" customWidth="1"/>
  </cols>
  <sheetData>
    <row r="5" spans="1:2" ht="12">
      <c r="A5" s="35" t="s">
        <v>444</v>
      </c>
      <c r="B5" s="17"/>
    </row>
    <row r="6" spans="1:2" ht="12.75">
      <c r="A6" s="10" t="s">
        <v>275</v>
      </c>
      <c r="B6" s="19"/>
    </row>
    <row r="7" spans="1:6" ht="12.75">
      <c r="A7" s="36" t="s">
        <v>37</v>
      </c>
      <c r="B7" s="34"/>
      <c r="C7" s="8"/>
      <c r="D7" s="8"/>
      <c r="E7" s="8"/>
      <c r="F7" s="22"/>
    </row>
    <row r="8" spans="1:6" ht="12.75" customHeight="1">
      <c r="A8" s="102"/>
      <c r="B8" s="344" t="s">
        <v>30</v>
      </c>
      <c r="C8" s="344"/>
      <c r="D8" s="344" t="s">
        <v>33</v>
      </c>
      <c r="E8" s="344"/>
      <c r="F8" s="103" t="s">
        <v>32</v>
      </c>
    </row>
    <row r="9" spans="1:6" ht="12">
      <c r="A9" s="104"/>
      <c r="B9" s="345" t="s">
        <v>17</v>
      </c>
      <c r="C9" s="347" t="s">
        <v>18</v>
      </c>
      <c r="D9" s="345" t="s">
        <v>17</v>
      </c>
      <c r="E9" s="347" t="s">
        <v>18</v>
      </c>
      <c r="F9" s="25"/>
    </row>
    <row r="10" spans="1:6" ht="12">
      <c r="A10" s="105"/>
      <c r="B10" s="346"/>
      <c r="C10" s="348"/>
      <c r="D10" s="346"/>
      <c r="E10" s="348"/>
      <c r="F10" s="42"/>
    </row>
    <row r="11" spans="1:6" ht="12">
      <c r="A11" s="106" t="s">
        <v>19</v>
      </c>
      <c r="B11" s="106"/>
      <c r="C11" s="106"/>
      <c r="D11" s="106"/>
      <c r="E11" s="106"/>
      <c r="F11" s="25"/>
    </row>
    <row r="12" spans="1:6" ht="15" customHeight="1">
      <c r="A12" s="23" t="s">
        <v>164</v>
      </c>
      <c r="B12" s="24">
        <v>4535</v>
      </c>
      <c r="C12" s="24">
        <v>4390</v>
      </c>
      <c r="D12" s="24">
        <v>4517</v>
      </c>
      <c r="E12" s="24">
        <v>4419</v>
      </c>
      <c r="F12" s="29" t="s">
        <v>190</v>
      </c>
    </row>
    <row r="13" spans="1:8" ht="15" customHeight="1">
      <c r="A13" s="23" t="s">
        <v>31</v>
      </c>
      <c r="B13" s="24">
        <v>34140468.9</v>
      </c>
      <c r="C13" s="24">
        <v>30937528.7</v>
      </c>
      <c r="D13" s="24">
        <v>35135615.9</v>
      </c>
      <c r="E13" s="24">
        <v>28768460</v>
      </c>
      <c r="F13" s="29" t="s">
        <v>45</v>
      </c>
      <c r="G13" s="20"/>
      <c r="H13" s="20"/>
    </row>
    <row r="14" spans="1:6" ht="15" customHeight="1">
      <c r="A14" s="23" t="s">
        <v>43</v>
      </c>
      <c r="B14" s="24">
        <v>8494</v>
      </c>
      <c r="C14" s="24">
        <v>8603</v>
      </c>
      <c r="D14" s="24">
        <v>8589</v>
      </c>
      <c r="E14" s="24">
        <v>7883</v>
      </c>
      <c r="F14" s="29" t="s">
        <v>45</v>
      </c>
    </row>
    <row r="15" spans="1:6" ht="15" customHeight="1">
      <c r="A15" s="23" t="s">
        <v>44</v>
      </c>
      <c r="B15" s="24">
        <v>1620484</v>
      </c>
      <c r="C15" s="24">
        <v>1725470</v>
      </c>
      <c r="D15" s="24">
        <v>1722491</v>
      </c>
      <c r="E15" s="24">
        <v>1551360</v>
      </c>
      <c r="F15" s="25" t="s">
        <v>42</v>
      </c>
    </row>
    <row r="16" spans="1:6" ht="15" customHeight="1">
      <c r="A16" s="23" t="s">
        <v>29</v>
      </c>
      <c r="B16" s="24">
        <f>(B15*2000)/B14</f>
        <v>381559.6891923711</v>
      </c>
      <c r="C16" s="24">
        <f>(C15*2000)/C14</f>
        <v>401132.1631988841</v>
      </c>
      <c r="D16" s="24">
        <f>(D15*2000)/D14</f>
        <v>401092.32739550585</v>
      </c>
      <c r="E16" s="24">
        <f>(E15*2000)/E14</f>
        <v>393596.3465685653</v>
      </c>
      <c r="F16" s="25" t="s">
        <v>191</v>
      </c>
    </row>
    <row r="17" spans="1:6" ht="15" customHeight="1">
      <c r="A17" s="23" t="s">
        <v>96</v>
      </c>
      <c r="B17" s="24">
        <v>5490</v>
      </c>
      <c r="C17" s="24">
        <v>4147</v>
      </c>
      <c r="D17" s="24">
        <v>6742</v>
      </c>
      <c r="E17" s="24">
        <v>5047</v>
      </c>
      <c r="F17" s="25" t="s">
        <v>42</v>
      </c>
    </row>
    <row r="18" spans="1:6" ht="15" customHeight="1">
      <c r="A18" s="23" t="s">
        <v>97</v>
      </c>
      <c r="B18" s="24">
        <f>B17*42</f>
        <v>230580</v>
      </c>
      <c r="C18" s="24">
        <f>C17*42</f>
        <v>174174</v>
      </c>
      <c r="D18" s="24">
        <f>D17*42</f>
        <v>283164</v>
      </c>
      <c r="E18" s="24">
        <f>E17*42</f>
        <v>211974</v>
      </c>
      <c r="F18" s="25" t="s">
        <v>98</v>
      </c>
    </row>
    <row r="19" spans="1:6" ht="15" customHeight="1">
      <c r="A19" s="23" t="s">
        <v>21</v>
      </c>
      <c r="B19" s="26">
        <v>9719</v>
      </c>
      <c r="C19" s="26">
        <v>9197</v>
      </c>
      <c r="D19" s="26">
        <v>9447</v>
      </c>
      <c r="E19" s="26">
        <v>9340</v>
      </c>
      <c r="F19" s="25" t="s">
        <v>42</v>
      </c>
    </row>
    <row r="20" spans="1:6" ht="14.25" customHeight="1">
      <c r="A20" s="23" t="s">
        <v>99</v>
      </c>
      <c r="B20" s="26">
        <v>140179</v>
      </c>
      <c r="C20" s="26">
        <v>140179</v>
      </c>
      <c r="D20" s="26">
        <v>139990</v>
      </c>
      <c r="E20" s="26">
        <v>139990</v>
      </c>
      <c r="F20" s="25" t="s">
        <v>42</v>
      </c>
    </row>
    <row r="21" spans="1:6" ht="15" customHeight="1">
      <c r="A21" s="107" t="s">
        <v>35</v>
      </c>
      <c r="B21" s="108"/>
      <c r="C21" s="108"/>
      <c r="D21" s="108"/>
      <c r="E21" s="108"/>
      <c r="F21" s="40"/>
    </row>
    <row r="22" spans="1:6" ht="15" customHeight="1">
      <c r="A22" s="27" t="s">
        <v>36</v>
      </c>
      <c r="B22" s="28">
        <v>0.54</v>
      </c>
      <c r="C22" s="28">
        <v>0.54</v>
      </c>
      <c r="D22" s="28">
        <v>0.54</v>
      </c>
      <c r="E22" s="28">
        <v>0.54</v>
      </c>
      <c r="F22" s="25" t="s">
        <v>192</v>
      </c>
    </row>
    <row r="23" spans="1:6" ht="15" customHeight="1">
      <c r="A23" s="109" t="s">
        <v>101</v>
      </c>
      <c r="B23" s="110"/>
      <c r="C23" s="110"/>
      <c r="D23" s="110"/>
      <c r="E23" s="110"/>
      <c r="F23" s="109"/>
    </row>
    <row r="24" spans="1:6" ht="15" customHeight="1">
      <c r="A24" s="27" t="s">
        <v>100</v>
      </c>
      <c r="B24" s="28">
        <v>0.1</v>
      </c>
      <c r="C24" s="28">
        <v>0.1</v>
      </c>
      <c r="D24" s="28">
        <v>0.1</v>
      </c>
      <c r="E24" s="28">
        <v>0.1</v>
      </c>
      <c r="F24" s="29" t="s">
        <v>107</v>
      </c>
    </row>
    <row r="25" spans="1:6" ht="15" customHeight="1">
      <c r="A25" s="111" t="s">
        <v>74</v>
      </c>
      <c r="B25" s="112"/>
      <c r="C25" s="112"/>
      <c r="D25" s="112"/>
      <c r="E25" s="112"/>
      <c r="F25" s="107"/>
    </row>
    <row r="26" spans="1:6" s="21" customFormat="1" ht="15" customHeight="1">
      <c r="A26" s="29" t="s">
        <v>55</v>
      </c>
      <c r="B26" s="24">
        <f>(B28*B13)/2000</f>
        <v>7306.0603446</v>
      </c>
      <c r="C26" s="24">
        <f>(C28*C13)/2000</f>
        <v>6713.443727899999</v>
      </c>
      <c r="D26" s="24">
        <f>(D28*D13)/2000</f>
        <v>6500.0889415</v>
      </c>
      <c r="E26" s="24">
        <f>(E28*E13)/2000</f>
        <v>6084.52929</v>
      </c>
      <c r="F26" s="29" t="s">
        <v>188</v>
      </c>
    </row>
    <row r="27" spans="1:6" s="21" customFormat="1" ht="15" customHeight="1">
      <c r="A27" s="29" t="s">
        <v>38</v>
      </c>
      <c r="B27" s="24">
        <f>B28*B12</f>
        <v>1940.98</v>
      </c>
      <c r="C27" s="24">
        <f>C28*C12</f>
        <v>1905.26</v>
      </c>
      <c r="D27" s="24">
        <f>D28*D12</f>
        <v>1671.29</v>
      </c>
      <c r="E27" s="24">
        <f>E28*E12</f>
        <v>1869.2369999999999</v>
      </c>
      <c r="F27" s="25" t="s">
        <v>168</v>
      </c>
    </row>
    <row r="28" spans="1:6" s="21" customFormat="1" ht="15" customHeight="1">
      <c r="A28" s="29" t="s">
        <v>1</v>
      </c>
      <c r="B28" s="113">
        <v>0.428</v>
      </c>
      <c r="C28" s="113">
        <v>0.434</v>
      </c>
      <c r="D28" s="113">
        <v>0.37</v>
      </c>
      <c r="E28" s="113">
        <v>0.423</v>
      </c>
      <c r="F28" s="29" t="s">
        <v>45</v>
      </c>
    </row>
    <row r="29" spans="1:6" s="21" customFormat="1" ht="15" customHeight="1">
      <c r="A29" s="29" t="s">
        <v>54</v>
      </c>
      <c r="B29" s="24">
        <v>5473.3</v>
      </c>
      <c r="C29" s="24">
        <v>5003.1</v>
      </c>
      <c r="D29" s="24">
        <v>7628.8</v>
      </c>
      <c r="E29" s="24">
        <v>5886.7</v>
      </c>
      <c r="F29" s="25" t="s">
        <v>167</v>
      </c>
    </row>
    <row r="30" spans="1:6" s="21" customFormat="1" ht="15" customHeight="1">
      <c r="A30" s="29" t="s">
        <v>39</v>
      </c>
      <c r="B30" s="24">
        <f>B31*B12</f>
        <v>1454.075840182734</v>
      </c>
      <c r="C30" s="24">
        <f>C31*C12</f>
        <v>1419.8683555483863</v>
      </c>
      <c r="D30" s="24">
        <f>D31*D12</f>
        <v>1961.5019527806257</v>
      </c>
      <c r="E30" s="24">
        <f>E31*E12</f>
        <v>1808.4615791043386</v>
      </c>
      <c r="F30" s="25" t="s">
        <v>193</v>
      </c>
    </row>
    <row r="31" spans="1:6" s="21" customFormat="1" ht="15" customHeight="1">
      <c r="A31" s="29" t="s">
        <v>40</v>
      </c>
      <c r="B31" s="113">
        <f>(B29*2000)/B13</f>
        <v>0.3206341433699524</v>
      </c>
      <c r="C31" s="113">
        <f>(C29*2000)/C13</f>
        <v>0.3234324272319786</v>
      </c>
      <c r="D31" s="113">
        <f>(D29*2000)/D13</f>
        <v>0.43424882727045067</v>
      </c>
      <c r="E31" s="113">
        <f>(E29*2000)/E13</f>
        <v>0.409246793189486</v>
      </c>
      <c r="F31" s="29" t="s">
        <v>165</v>
      </c>
    </row>
    <row r="32" spans="1:6" s="21" customFormat="1" ht="15" customHeight="1">
      <c r="A32" s="29" t="s">
        <v>53</v>
      </c>
      <c r="B32" s="24">
        <f>(B34*B13)/2000</f>
        <v>512.1070335</v>
      </c>
      <c r="C32" s="24">
        <f>(C34*C13)/2000</f>
        <v>464.06293049999994</v>
      </c>
      <c r="D32" s="24">
        <f>(D34*D13)/2000</f>
        <v>527.0342385</v>
      </c>
      <c r="E32" s="24">
        <f>(E34*E13)/2000</f>
        <v>431.52689999999996</v>
      </c>
      <c r="F32" s="29" t="s">
        <v>189</v>
      </c>
    </row>
    <row r="33" spans="1:6" s="21" customFormat="1" ht="15" customHeight="1">
      <c r="A33" s="29" t="s">
        <v>46</v>
      </c>
      <c r="B33" s="24">
        <f>B34*B12</f>
        <v>136.04999999999998</v>
      </c>
      <c r="C33" s="24">
        <f>C34*C12</f>
        <v>131.7</v>
      </c>
      <c r="D33" s="24">
        <f>D34*D12</f>
        <v>135.51</v>
      </c>
      <c r="E33" s="24">
        <f>E34*E12</f>
        <v>132.57</v>
      </c>
      <c r="F33" s="25" t="s">
        <v>166</v>
      </c>
    </row>
    <row r="34" spans="1:6" s="21" customFormat="1" ht="15" customHeight="1">
      <c r="A34" s="29" t="s">
        <v>4</v>
      </c>
      <c r="B34" s="114">
        <v>0.03</v>
      </c>
      <c r="C34" s="114">
        <v>0.03</v>
      </c>
      <c r="D34" s="114">
        <v>0.03</v>
      </c>
      <c r="E34" s="114">
        <v>0.03</v>
      </c>
      <c r="F34" s="115" t="s">
        <v>194</v>
      </c>
    </row>
    <row r="35" spans="1:6" s="21" customFormat="1" ht="15" customHeight="1">
      <c r="A35" s="29" t="s">
        <v>52</v>
      </c>
      <c r="B35" s="24">
        <f aca="true" t="shared" si="0" ref="B35:E37">B32</f>
        <v>512.1070335</v>
      </c>
      <c r="C35" s="24">
        <f t="shared" si="0"/>
        <v>464.06293049999994</v>
      </c>
      <c r="D35" s="24">
        <f t="shared" si="0"/>
        <v>527.0342385</v>
      </c>
      <c r="E35" s="24">
        <f t="shared" si="0"/>
        <v>431.52689999999996</v>
      </c>
      <c r="F35" s="115" t="s">
        <v>208</v>
      </c>
    </row>
    <row r="36" spans="1:6" s="21" customFormat="1" ht="15" customHeight="1">
      <c r="A36" s="29" t="s">
        <v>47</v>
      </c>
      <c r="B36" s="24">
        <f t="shared" si="0"/>
        <v>136.04999999999998</v>
      </c>
      <c r="C36" s="24">
        <f t="shared" si="0"/>
        <v>131.7</v>
      </c>
      <c r="D36" s="24">
        <f t="shared" si="0"/>
        <v>135.51</v>
      </c>
      <c r="E36" s="24">
        <f t="shared" si="0"/>
        <v>132.57</v>
      </c>
      <c r="F36" s="115" t="s">
        <v>208</v>
      </c>
    </row>
    <row r="37" spans="1:6" s="21" customFormat="1" ht="15" customHeight="1">
      <c r="A37" s="29" t="s">
        <v>48</v>
      </c>
      <c r="B37" s="114">
        <f t="shared" si="0"/>
        <v>0.03</v>
      </c>
      <c r="C37" s="114">
        <f t="shared" si="0"/>
        <v>0.03</v>
      </c>
      <c r="D37" s="114">
        <f t="shared" si="0"/>
        <v>0.03</v>
      </c>
      <c r="E37" s="114">
        <f t="shared" si="0"/>
        <v>0.03</v>
      </c>
      <c r="F37" s="115" t="s">
        <v>208</v>
      </c>
    </row>
    <row r="38" spans="1:6" s="21" customFormat="1" ht="15" customHeight="1">
      <c r="A38" s="29" t="s">
        <v>431</v>
      </c>
      <c r="B38" s="24">
        <f>(B40*B13)/2000</f>
        <v>160.09966784127877</v>
      </c>
      <c r="C38" s="24">
        <f>(C40*C13)/2000</f>
        <v>150.54074075595938</v>
      </c>
      <c r="D38" s="24">
        <f>(D40*D13)/2000</f>
        <v>170.83110747893397</v>
      </c>
      <c r="E38" s="24">
        <f>(E40*E13)/2000</f>
        <v>140.01139376410336</v>
      </c>
      <c r="F38" s="29" t="s">
        <v>432</v>
      </c>
    </row>
    <row r="39" spans="1:6" s="21" customFormat="1" ht="15" customHeight="1">
      <c r="A39" s="29" t="s">
        <v>433</v>
      </c>
      <c r="B39" s="24">
        <f>B40*B12</f>
        <v>42.533217442728166</v>
      </c>
      <c r="C39" s="24">
        <f>C40*C12</f>
        <v>42.72311847058823</v>
      </c>
      <c r="D39" s="24">
        <f>D40*D12</f>
        <v>43.923756149801534</v>
      </c>
      <c r="E39" s="24">
        <f>E40*E12</f>
        <v>43.01310178185226</v>
      </c>
      <c r="F39" s="25" t="s">
        <v>434</v>
      </c>
    </row>
    <row r="40" spans="1:6" s="21" customFormat="1" ht="15" customHeight="1">
      <c r="A40" s="29" t="s">
        <v>435</v>
      </c>
      <c r="B40" s="116">
        <f>B52+0.005</f>
        <v>0.009378879259697501</v>
      </c>
      <c r="C40" s="116">
        <f>C52+0.005</f>
        <v>0.009731917647058823</v>
      </c>
      <c r="D40" s="116">
        <f>D52+0.005</f>
        <v>0.009724099214036204</v>
      </c>
      <c r="E40" s="116">
        <f>E52+0.005</f>
        <v>0.009733673179871522</v>
      </c>
      <c r="F40" s="115" t="s">
        <v>436</v>
      </c>
    </row>
    <row r="41" spans="1:6" s="21" customFormat="1" ht="15" customHeight="1">
      <c r="A41" s="29" t="s">
        <v>51</v>
      </c>
      <c r="B41" s="24">
        <f aca="true" t="shared" si="1" ref="B41:E43">B35+B38</f>
        <v>672.2067013412787</v>
      </c>
      <c r="C41" s="24">
        <f t="shared" si="1"/>
        <v>614.6036712559593</v>
      </c>
      <c r="D41" s="24">
        <f t="shared" si="1"/>
        <v>697.865345978934</v>
      </c>
      <c r="E41" s="24">
        <f t="shared" si="1"/>
        <v>571.5382937641033</v>
      </c>
      <c r="F41" s="29" t="s">
        <v>437</v>
      </c>
    </row>
    <row r="42" spans="1:6" s="21" customFormat="1" ht="15" customHeight="1">
      <c r="A42" s="29" t="s">
        <v>49</v>
      </c>
      <c r="B42" s="24">
        <f t="shared" si="1"/>
        <v>178.58321744272814</v>
      </c>
      <c r="C42" s="24">
        <f t="shared" si="1"/>
        <v>174.42311847058824</v>
      </c>
      <c r="D42" s="24">
        <f t="shared" si="1"/>
        <v>179.43375614980152</v>
      </c>
      <c r="E42" s="24">
        <f t="shared" si="1"/>
        <v>175.58310178185224</v>
      </c>
      <c r="F42" s="29" t="s">
        <v>438</v>
      </c>
    </row>
    <row r="43" spans="1:6" s="21" customFormat="1" ht="15" customHeight="1">
      <c r="A43" s="29" t="s">
        <v>50</v>
      </c>
      <c r="B43" s="117">
        <f t="shared" si="1"/>
        <v>0.0393788792596975</v>
      </c>
      <c r="C43" s="117">
        <f t="shared" si="1"/>
        <v>0.03973191764705882</v>
      </c>
      <c r="D43" s="117">
        <f t="shared" si="1"/>
        <v>0.039724099214036204</v>
      </c>
      <c r="E43" s="117">
        <f t="shared" si="1"/>
        <v>0.03973367317987152</v>
      </c>
      <c r="F43" s="29" t="s">
        <v>439</v>
      </c>
    </row>
    <row r="44" spans="1:6" s="21" customFormat="1" ht="15" customHeight="1">
      <c r="A44" s="29" t="s">
        <v>61</v>
      </c>
      <c r="B44" s="118">
        <f>(B46*B13)/2000</f>
        <v>42.675586125</v>
      </c>
      <c r="C44" s="118">
        <f>(C46*C13)/2000</f>
        <v>38.671910875</v>
      </c>
      <c r="D44" s="118">
        <f>(D46*D13)/2000</f>
        <v>43.919519875</v>
      </c>
      <c r="E44" s="118">
        <f>(E46*E13)/2000</f>
        <v>35.960575000000006</v>
      </c>
      <c r="F44" s="29" t="s">
        <v>170</v>
      </c>
    </row>
    <row r="45" spans="1:6" s="21" customFormat="1" ht="15" customHeight="1">
      <c r="A45" s="29" t="s">
        <v>34</v>
      </c>
      <c r="B45" s="118">
        <f>B46*B12</f>
        <v>11.3375</v>
      </c>
      <c r="C45" s="118">
        <f>C46*C12</f>
        <v>10.975</v>
      </c>
      <c r="D45" s="118">
        <f>D46*D12</f>
        <v>11.2925</v>
      </c>
      <c r="E45" s="118">
        <f>E46*E12</f>
        <v>11.0475</v>
      </c>
      <c r="F45" s="25" t="s">
        <v>169</v>
      </c>
    </row>
    <row r="46" spans="1:6" s="21" customFormat="1" ht="15" customHeight="1">
      <c r="A46" s="29" t="s">
        <v>56</v>
      </c>
      <c r="B46" s="119">
        <v>0.0025</v>
      </c>
      <c r="C46" s="119">
        <v>0.0025</v>
      </c>
      <c r="D46" s="119">
        <v>0.0025</v>
      </c>
      <c r="E46" s="119">
        <v>0.0025</v>
      </c>
      <c r="F46" s="29" t="s">
        <v>184</v>
      </c>
    </row>
    <row r="47" spans="1:6" s="21" customFormat="1" ht="15" customHeight="1">
      <c r="A47" s="29" t="s">
        <v>62</v>
      </c>
      <c r="B47" s="118">
        <f>(B49*B13)/2000</f>
        <v>34.1404689</v>
      </c>
      <c r="C47" s="118">
        <f>(C49*C13)/2000</f>
        <v>30.937528699999998</v>
      </c>
      <c r="D47" s="118">
        <f>(D49*D13)/2000</f>
        <v>35.1356159</v>
      </c>
      <c r="E47" s="118">
        <f>(E49*E13)/2000</f>
        <v>28.768459999999997</v>
      </c>
      <c r="F47" s="29" t="s">
        <v>172</v>
      </c>
    </row>
    <row r="48" spans="1:6" s="21" customFormat="1" ht="15" customHeight="1">
      <c r="A48" s="29" t="s">
        <v>22</v>
      </c>
      <c r="B48" s="118">
        <f>B49*B12</f>
        <v>9.07</v>
      </c>
      <c r="C48" s="118">
        <f>C49*C12</f>
        <v>8.78</v>
      </c>
      <c r="D48" s="118">
        <f>D49*D12</f>
        <v>9.034</v>
      </c>
      <c r="E48" s="118">
        <f>E49*E12</f>
        <v>8.838000000000001</v>
      </c>
      <c r="F48" s="25" t="s">
        <v>171</v>
      </c>
    </row>
    <row r="49" spans="1:6" s="21" customFormat="1" ht="15" customHeight="1">
      <c r="A49" s="29" t="s">
        <v>57</v>
      </c>
      <c r="B49" s="116">
        <v>0.002</v>
      </c>
      <c r="C49" s="116">
        <v>0.002</v>
      </c>
      <c r="D49" s="116">
        <v>0.002</v>
      </c>
      <c r="E49" s="116">
        <v>0.002</v>
      </c>
      <c r="F49" s="29" t="s">
        <v>184</v>
      </c>
    </row>
    <row r="50" spans="1:6" s="21" customFormat="1" ht="15" customHeight="1">
      <c r="A50" s="29" t="s">
        <v>63</v>
      </c>
      <c r="B50" s="120">
        <f>'H2SO4 Emissions'!B45</f>
        <v>74.15827104711906</v>
      </c>
      <c r="C50" s="120">
        <f>'H2SO4 Emissions'!C45</f>
        <v>79.20477645133496</v>
      </c>
      <c r="D50" s="120">
        <f>'H2SO4 Emissions'!D45</f>
        <v>81.76057300816488</v>
      </c>
      <c r="E50" s="120">
        <f>'H2SO4 Emissions'!E45</f>
        <v>67.5914427623653</v>
      </c>
      <c r="F50" s="29" t="s">
        <v>58</v>
      </c>
    </row>
    <row r="51" spans="1:6" s="21" customFormat="1" ht="15" customHeight="1">
      <c r="A51" s="29" t="s">
        <v>41</v>
      </c>
      <c r="B51" s="120">
        <f>'H2SO4 Emissions'!B46</f>
        <v>19.858217442728165</v>
      </c>
      <c r="C51" s="120">
        <f>'H2SO4 Emissions'!C46</f>
        <v>20.773118470588237</v>
      </c>
      <c r="D51" s="120">
        <f>'H2SO4 Emissions'!D46</f>
        <v>21.338756149801533</v>
      </c>
      <c r="E51" s="120">
        <f>'H2SO4 Emissions'!E46</f>
        <v>20.91810178185225</v>
      </c>
      <c r="F51" s="29" t="s">
        <v>58</v>
      </c>
    </row>
    <row r="52" spans="1:6" s="21" customFormat="1" ht="15" customHeight="1">
      <c r="A52" s="29" t="s">
        <v>2</v>
      </c>
      <c r="B52" s="113">
        <f>'H2SO4 Emissions'!B47</f>
        <v>0.004378879259697501</v>
      </c>
      <c r="C52" s="113">
        <f>'H2SO4 Emissions'!C47</f>
        <v>0.004731917647058824</v>
      </c>
      <c r="D52" s="113">
        <f>'H2SO4 Emissions'!D47</f>
        <v>0.0047240992140362035</v>
      </c>
      <c r="E52" s="113">
        <f>'H2SO4 Emissions'!E47</f>
        <v>0.004733673179871521</v>
      </c>
      <c r="F52" s="29" t="s">
        <v>58</v>
      </c>
    </row>
    <row r="53" spans="1:6" s="21" customFormat="1" ht="15" customHeight="1">
      <c r="A53" s="29" t="s">
        <v>64</v>
      </c>
      <c r="B53" s="24">
        <f>(B55*B15)/2000</f>
        <v>405.121</v>
      </c>
      <c r="C53" s="24">
        <f>(C55*C15)/2000</f>
        <v>431.3675</v>
      </c>
      <c r="D53" s="24">
        <f>(D55*D15)/2000</f>
        <v>430.62275</v>
      </c>
      <c r="E53" s="24">
        <f>(E55*E15)/2000</f>
        <v>387.84</v>
      </c>
      <c r="F53" s="29" t="s">
        <v>173</v>
      </c>
    </row>
    <row r="54" spans="1:6" s="21" customFormat="1" ht="15" customHeight="1">
      <c r="A54" s="29" t="s">
        <v>23</v>
      </c>
      <c r="B54" s="24">
        <f>(B55*B16)/2000</f>
        <v>95.38992229809277</v>
      </c>
      <c r="C54" s="24">
        <f>(C55*C16)/2000</f>
        <v>100.28304079972102</v>
      </c>
      <c r="D54" s="24">
        <f>(D55*D16)/2000</f>
        <v>100.27308184887646</v>
      </c>
      <c r="E54" s="24">
        <f>(E55*E16)/2000</f>
        <v>98.39908664214133</v>
      </c>
      <c r="F54" s="29" t="s">
        <v>195</v>
      </c>
    </row>
    <row r="55" spans="1:6" s="21" customFormat="1" ht="15" customHeight="1">
      <c r="A55" s="29" t="s">
        <v>59</v>
      </c>
      <c r="B55" s="118">
        <v>0.5</v>
      </c>
      <c r="C55" s="118">
        <v>0.5</v>
      </c>
      <c r="D55" s="118">
        <v>0.5</v>
      </c>
      <c r="E55" s="118">
        <v>0.5</v>
      </c>
      <c r="F55" s="29" t="s">
        <v>60</v>
      </c>
    </row>
    <row r="56" spans="1:6" s="21" customFormat="1" ht="15" customHeight="1">
      <c r="A56" s="29" t="s">
        <v>67</v>
      </c>
      <c r="B56" s="118">
        <f>(B58*B15)/2000</f>
        <v>48.61452</v>
      </c>
      <c r="C56" s="118">
        <f>(C58*C15)/2000</f>
        <v>51.7641</v>
      </c>
      <c r="D56" s="118">
        <f>(D58*D15)/2000</f>
        <v>51.67473</v>
      </c>
      <c r="E56" s="118">
        <f>(E58*E15)/2000</f>
        <v>46.5408</v>
      </c>
      <c r="F56" s="29" t="s">
        <v>174</v>
      </c>
    </row>
    <row r="57" spans="1:6" s="21" customFormat="1" ht="15" customHeight="1">
      <c r="A57" s="29" t="s">
        <v>25</v>
      </c>
      <c r="B57" s="118">
        <f>B58*(B16/2000)</f>
        <v>11.446790675771132</v>
      </c>
      <c r="C57" s="118">
        <f>C58*(C16/2000)</f>
        <v>12.033964895966522</v>
      </c>
      <c r="D57" s="118">
        <f>D58*(D16/2000)</f>
        <v>12.032769821865175</v>
      </c>
      <c r="E57" s="118">
        <f>E58*(E16/2000)</f>
        <v>11.807890397056958</v>
      </c>
      <c r="F57" s="25" t="s">
        <v>175</v>
      </c>
    </row>
    <row r="58" spans="1:6" s="21" customFormat="1" ht="15" customHeight="1">
      <c r="A58" s="29" t="s">
        <v>65</v>
      </c>
      <c r="B58" s="117">
        <v>0.06</v>
      </c>
      <c r="C58" s="117">
        <v>0.06</v>
      </c>
      <c r="D58" s="117">
        <v>0.06</v>
      </c>
      <c r="E58" s="117">
        <v>0.06</v>
      </c>
      <c r="F58" s="29" t="s">
        <v>66</v>
      </c>
    </row>
    <row r="59" spans="1:6" s="21" customFormat="1" ht="15" customHeight="1">
      <c r="A59" s="29" t="s">
        <v>69</v>
      </c>
      <c r="B59" s="118">
        <f>(B61*B13)/2000</f>
        <v>8.65460886615</v>
      </c>
      <c r="C59" s="118">
        <f>(C61*C13)/2000</f>
        <v>7.842663525449999</v>
      </c>
      <c r="D59" s="118">
        <f>(D61*D13)/2000</f>
        <v>8.906878630649999</v>
      </c>
      <c r="E59" s="118">
        <f>(E61*E13)/2000</f>
        <v>7.292804609999999</v>
      </c>
      <c r="F59" s="29" t="s">
        <v>177</v>
      </c>
    </row>
    <row r="60" spans="1:6" s="21" customFormat="1" ht="15" customHeight="1">
      <c r="A60" s="29" t="s">
        <v>27</v>
      </c>
      <c r="B60" s="118">
        <f>B61*B12</f>
        <v>2.299245</v>
      </c>
      <c r="C60" s="118">
        <f>C61*C12</f>
        <v>2.22573</v>
      </c>
      <c r="D60" s="118">
        <f>D61*D12</f>
        <v>2.290119</v>
      </c>
      <c r="E60" s="118">
        <f>E61*E12</f>
        <v>2.240433</v>
      </c>
      <c r="F60" s="25" t="s">
        <v>176</v>
      </c>
    </row>
    <row r="61" spans="1:6" s="21" customFormat="1" ht="15" customHeight="1">
      <c r="A61" s="29" t="s">
        <v>68</v>
      </c>
      <c r="B61" s="119">
        <v>0.000507</v>
      </c>
      <c r="C61" s="119">
        <v>0.000507</v>
      </c>
      <c r="D61" s="119">
        <v>0.000507</v>
      </c>
      <c r="E61" s="119">
        <v>0.000507</v>
      </c>
      <c r="F61" s="29" t="s">
        <v>70</v>
      </c>
    </row>
    <row r="62" spans="1:6" s="21" customFormat="1" ht="15" customHeight="1">
      <c r="A62" s="29" t="s">
        <v>71</v>
      </c>
      <c r="B62" s="117">
        <f>(B64*B13)/2000</f>
        <v>0.141682945935</v>
      </c>
      <c r="C62" s="117">
        <f>(C64*C13)/2000</f>
        <v>0.128390744105</v>
      </c>
      <c r="D62" s="117">
        <f>(D64*D13)/2000</f>
        <v>0.145812805985</v>
      </c>
      <c r="E62" s="117">
        <f>(E64*E13)/2000</f>
        <v>0.11938910900000001</v>
      </c>
      <c r="F62" s="29" t="s">
        <v>178</v>
      </c>
    </row>
    <row r="63" spans="1:6" s="21" customFormat="1" ht="15" customHeight="1">
      <c r="A63" s="29" t="s">
        <v>72</v>
      </c>
      <c r="B63" s="117">
        <f>B64*B12</f>
        <v>0.0376405</v>
      </c>
      <c r="C63" s="117">
        <f>C64*C12</f>
        <v>0.036437000000000004</v>
      </c>
      <c r="D63" s="117">
        <f>D64*D12</f>
        <v>0.0374911</v>
      </c>
      <c r="E63" s="117">
        <f>E64*E12</f>
        <v>0.0366777</v>
      </c>
      <c r="F63" s="25" t="s">
        <v>179</v>
      </c>
    </row>
    <row r="64" spans="1:6" s="21" customFormat="1" ht="15" customHeight="1">
      <c r="A64" s="29" t="s">
        <v>73</v>
      </c>
      <c r="B64" s="121">
        <v>8.3E-06</v>
      </c>
      <c r="C64" s="121">
        <v>8.3E-06</v>
      </c>
      <c r="D64" s="121">
        <v>8.3E-06</v>
      </c>
      <c r="E64" s="121">
        <v>8.3E-06</v>
      </c>
      <c r="F64" s="122" t="s">
        <v>209</v>
      </c>
    </row>
    <row r="65" spans="1:6" s="21" customFormat="1" ht="15" customHeight="1">
      <c r="A65" s="111" t="s">
        <v>75</v>
      </c>
      <c r="B65" s="112"/>
      <c r="C65" s="112"/>
      <c r="D65" s="112"/>
      <c r="E65" s="112"/>
      <c r="F65" s="107"/>
    </row>
    <row r="66" spans="1:6" s="21" customFormat="1" ht="15" customHeight="1">
      <c r="A66" s="29" t="s">
        <v>76</v>
      </c>
      <c r="B66" s="118">
        <f>(B68/1000)*B18*(1/2000)</f>
        <v>2.76696</v>
      </c>
      <c r="C66" s="118">
        <f>(C68/1000)*C18*(1/2000)</f>
        <v>2.090088</v>
      </c>
      <c r="D66" s="118">
        <f>(D68/1000)*D18*(1/2000)</f>
        <v>3.397968</v>
      </c>
      <c r="E66" s="118">
        <f>(E68/1000)*E18*(1/2000)</f>
        <v>2.543688</v>
      </c>
      <c r="F66" s="29" t="s">
        <v>102</v>
      </c>
    </row>
    <row r="67" spans="1:6" s="21" customFormat="1" ht="15" customHeight="1">
      <c r="A67" s="29" t="s">
        <v>162</v>
      </c>
      <c r="B67" s="118">
        <f>(B66*2000)/B14</f>
        <v>0.651509300682835</v>
      </c>
      <c r="C67" s="118">
        <f>(C66*2000)/C14</f>
        <v>0.48589747762408464</v>
      </c>
      <c r="D67" s="118">
        <f>(D66*2000)/D14</f>
        <v>0.791237163814181</v>
      </c>
      <c r="E67" s="118">
        <f>(E66*2000)/E14</f>
        <v>0.6453603957884054</v>
      </c>
      <c r="F67" s="25" t="s">
        <v>87</v>
      </c>
    </row>
    <row r="68" spans="1:6" s="21" customFormat="1" ht="15" customHeight="1">
      <c r="A68" s="29" t="s">
        <v>82</v>
      </c>
      <c r="B68" s="24">
        <v>24</v>
      </c>
      <c r="C68" s="24">
        <v>24</v>
      </c>
      <c r="D68" s="24">
        <v>24</v>
      </c>
      <c r="E68" s="24">
        <v>24</v>
      </c>
      <c r="F68" s="29" t="s">
        <v>92</v>
      </c>
    </row>
    <row r="69" spans="1:6" s="21" customFormat="1" ht="15" customHeight="1">
      <c r="A69" s="29" t="s">
        <v>77</v>
      </c>
      <c r="B69" s="118">
        <f>(B71/1000)*B18*(1/2000)</f>
        <v>0.57645</v>
      </c>
      <c r="C69" s="118">
        <f>(C71/1000)*C18*(1/2000)</f>
        <v>0.435435</v>
      </c>
      <c r="D69" s="118">
        <f>(D71/1000)*D18*(1/2000)</f>
        <v>0.7079099999999999</v>
      </c>
      <c r="E69" s="118">
        <f>(E71/1000)*E18*(1/2000)</f>
        <v>0.529935</v>
      </c>
      <c r="F69" s="29" t="s">
        <v>103</v>
      </c>
    </row>
    <row r="70" spans="1:6" s="21" customFormat="1" ht="15" customHeight="1">
      <c r="A70" s="29" t="s">
        <v>24</v>
      </c>
      <c r="B70" s="118">
        <f>(B69*2000)/B14</f>
        <v>0.13573110430892396</v>
      </c>
      <c r="C70" s="118">
        <f>(C69*2000)/C14</f>
        <v>0.1012286411716843</v>
      </c>
      <c r="D70" s="118">
        <f>(D69*2000)/D14</f>
        <v>0.164841075794621</v>
      </c>
      <c r="E70" s="118">
        <f>(E69*2000)/E14</f>
        <v>0.1344500824559178</v>
      </c>
      <c r="F70" s="25" t="s">
        <v>88</v>
      </c>
    </row>
    <row r="71" spans="1:6" s="21" customFormat="1" ht="15" customHeight="1">
      <c r="A71" s="29" t="s">
        <v>83</v>
      </c>
      <c r="B71" s="24">
        <v>5</v>
      </c>
      <c r="C71" s="24">
        <v>5</v>
      </c>
      <c r="D71" s="24">
        <v>5</v>
      </c>
      <c r="E71" s="24">
        <v>5</v>
      </c>
      <c r="F71" s="29" t="s">
        <v>92</v>
      </c>
    </row>
    <row r="72" spans="1:6" s="21" customFormat="1" ht="15" customHeight="1">
      <c r="A72" s="29" t="s">
        <v>78</v>
      </c>
      <c r="B72" s="118">
        <f>(B74/1000)*B18*(1/2000)</f>
        <v>0.0876204</v>
      </c>
      <c r="C72" s="118">
        <f>(C74/1000)*C18*(1/2000)</f>
        <v>0.06618612</v>
      </c>
      <c r="D72" s="118">
        <f>(D74/1000)*D18*(1/2000)</f>
        <v>0.10760232</v>
      </c>
      <c r="E72" s="118">
        <f>(E74/1000)*E18*(1/2000)</f>
        <v>0.08055012</v>
      </c>
      <c r="F72" s="29" t="s">
        <v>104</v>
      </c>
    </row>
    <row r="73" spans="1:6" s="21" customFormat="1" ht="15" customHeight="1">
      <c r="A73" s="29" t="s">
        <v>26</v>
      </c>
      <c r="B73" s="117">
        <f>(B72*2000)/B14</f>
        <v>0.02063112785495644</v>
      </c>
      <c r="C73" s="117">
        <f>(C72*2000)/C14</f>
        <v>0.015386753458096014</v>
      </c>
      <c r="D73" s="117">
        <f>(D72*2000)/D14</f>
        <v>0.025055843520782398</v>
      </c>
      <c r="E73" s="117">
        <f>(E72*2000)/E14</f>
        <v>0.020436412533299506</v>
      </c>
      <c r="F73" s="25" t="s">
        <v>89</v>
      </c>
    </row>
    <row r="74" spans="1:6" s="21" customFormat="1" ht="15" customHeight="1">
      <c r="A74" s="29" t="s">
        <v>84</v>
      </c>
      <c r="B74" s="118">
        <v>0.76</v>
      </c>
      <c r="C74" s="118">
        <v>0.76</v>
      </c>
      <c r="D74" s="118">
        <v>0.76</v>
      </c>
      <c r="E74" s="118">
        <v>0.76</v>
      </c>
      <c r="F74" s="29" t="s">
        <v>93</v>
      </c>
    </row>
    <row r="75" spans="1:6" s="21" customFormat="1" ht="15" customHeight="1">
      <c r="A75" s="29" t="s">
        <v>79</v>
      </c>
      <c r="B75" s="118">
        <f>(B77/1000)*B18*(1/2000)</f>
        <v>1.8100530000000004</v>
      </c>
      <c r="C75" s="118">
        <f>(C77/1000)*C18*(1/2000)</f>
        <v>1.3672659</v>
      </c>
      <c r="D75" s="118">
        <f>(D77/1000)*D18*(1/2000)</f>
        <v>2.2228374000000004</v>
      </c>
      <c r="E75" s="118">
        <f>(E77/1000)*E18*(1/2000)</f>
        <v>1.6639959000000002</v>
      </c>
      <c r="F75" s="29" t="s">
        <v>105</v>
      </c>
    </row>
    <row r="76" spans="1:6" s="21" customFormat="1" ht="15" customHeight="1">
      <c r="A76" s="29" t="s">
        <v>3</v>
      </c>
      <c r="B76" s="118">
        <f>(B75*2000)/B14</f>
        <v>0.42619566753002125</v>
      </c>
      <c r="C76" s="118">
        <f>(C75*2000)/C14</f>
        <v>0.31785793327908873</v>
      </c>
      <c r="D76" s="118">
        <f>(D75*2000)/D14</f>
        <v>0.5176009779951101</v>
      </c>
      <c r="E76" s="118">
        <f>(E75*2000)/E14</f>
        <v>0.4221732589115819</v>
      </c>
      <c r="F76" s="25" t="s">
        <v>90</v>
      </c>
    </row>
    <row r="77" spans="1:6" s="21" customFormat="1" ht="15" customHeight="1">
      <c r="A77" s="29" t="s">
        <v>85</v>
      </c>
      <c r="B77" s="24">
        <f>157*B24</f>
        <v>15.700000000000001</v>
      </c>
      <c r="C77" s="24">
        <f>157*C24</f>
        <v>15.700000000000001</v>
      </c>
      <c r="D77" s="24">
        <f>157*D24</f>
        <v>15.700000000000001</v>
      </c>
      <c r="E77" s="24">
        <f>157*E24</f>
        <v>15.700000000000001</v>
      </c>
      <c r="F77" s="29" t="s">
        <v>94</v>
      </c>
    </row>
    <row r="78" spans="1:6" s="21" customFormat="1" ht="15" customHeight="1">
      <c r="A78" s="29" t="s">
        <v>80</v>
      </c>
      <c r="B78" s="118">
        <f>(B80/1000)*B18*(1/2000)</f>
        <v>0.380457</v>
      </c>
      <c r="C78" s="118">
        <f>(C80/1000)*C18*(1/2000)</f>
        <v>0.2873871</v>
      </c>
      <c r="D78" s="118">
        <f>(D80/1000)*D18*(1/2000)</f>
        <v>0.4672206</v>
      </c>
      <c r="E78" s="118">
        <f>(E80/1000)*E18*(1/2000)</f>
        <v>0.3497571</v>
      </c>
      <c r="F78" s="29" t="s">
        <v>106</v>
      </c>
    </row>
    <row r="79" spans="1:6" s="21" customFormat="1" ht="15" customHeight="1">
      <c r="A79" s="29" t="s">
        <v>81</v>
      </c>
      <c r="B79" s="118">
        <f>(B78*2000)/B14</f>
        <v>0.0895825288438898</v>
      </c>
      <c r="C79" s="118">
        <f>(C78*2000)/C14</f>
        <v>0.06681090317331165</v>
      </c>
      <c r="D79" s="118">
        <f>(D78*2000)/D14</f>
        <v>0.10879511002444987</v>
      </c>
      <c r="E79" s="118">
        <f>(E78*2000)/E14</f>
        <v>0.08873705442090574</v>
      </c>
      <c r="F79" s="25" t="s">
        <v>91</v>
      </c>
    </row>
    <row r="80" spans="1:6" s="21" customFormat="1" ht="15" customHeight="1">
      <c r="A80" s="29" t="s">
        <v>86</v>
      </c>
      <c r="B80" s="118">
        <v>3.3</v>
      </c>
      <c r="C80" s="118">
        <v>3.3</v>
      </c>
      <c r="D80" s="118">
        <v>3.3</v>
      </c>
      <c r="E80" s="118">
        <v>3.3</v>
      </c>
      <c r="F80" s="29" t="s">
        <v>95</v>
      </c>
    </row>
    <row r="81" spans="1:6" s="21" customFormat="1" ht="15" customHeight="1">
      <c r="A81" s="123" t="s">
        <v>9</v>
      </c>
      <c r="B81" s="124"/>
      <c r="C81" s="124"/>
      <c r="D81" s="124"/>
      <c r="E81" s="124"/>
      <c r="F81" s="40"/>
    </row>
    <row r="82" spans="1:6" s="21" customFormat="1" ht="15" customHeight="1">
      <c r="A82" s="125" t="s">
        <v>10</v>
      </c>
      <c r="B82" s="124">
        <v>87.93</v>
      </c>
      <c r="C82" s="124">
        <v>88.64</v>
      </c>
      <c r="D82" s="124">
        <v>89.22</v>
      </c>
      <c r="E82" s="124">
        <v>81.98</v>
      </c>
      <c r="F82" s="40" t="s">
        <v>42</v>
      </c>
    </row>
    <row r="83" spans="1:6" ht="12">
      <c r="A83" s="32"/>
      <c r="B83" s="85"/>
      <c r="C83" s="32"/>
      <c r="D83" s="85"/>
      <c r="E83" s="32"/>
      <c r="F83" s="33"/>
    </row>
    <row r="87" ht="12">
      <c r="C87" s="86"/>
    </row>
  </sheetData>
  <sheetProtection/>
  <mergeCells count="6">
    <mergeCell ref="D8:E8"/>
    <mergeCell ref="B9:B10"/>
    <mergeCell ref="C9:C10"/>
    <mergeCell ref="D9:D10"/>
    <mergeCell ref="E9:E10"/>
    <mergeCell ref="B8:C8"/>
  </mergeCells>
  <printOptions horizontalCentered="1"/>
  <pageMargins left="1" right="0.19" top="1" bottom="1" header="0.5" footer="0.5"/>
  <pageSetup fitToHeight="1" fitToWidth="1" horizontalDpi="600" verticalDpi="600" orientation="portrait" scale="51" r:id="rId1"/>
</worksheet>
</file>

<file path=xl/worksheets/sheet10.xml><?xml version="1.0" encoding="utf-8"?>
<worksheet xmlns="http://schemas.openxmlformats.org/spreadsheetml/2006/main" xmlns:r="http://schemas.openxmlformats.org/officeDocument/2006/relationships">
  <sheetPr codeName="Sheet14">
    <pageSetUpPr fitToPage="1"/>
  </sheetPr>
  <dimension ref="A2:P30"/>
  <sheetViews>
    <sheetView tabSelected="1" zoomScalePageLayoutView="0" workbookViewId="0" topLeftCell="D1">
      <selection activeCell="P11" sqref="P11"/>
    </sheetView>
  </sheetViews>
  <sheetFormatPr defaultColWidth="9.140625" defaultRowHeight="12"/>
  <cols>
    <col min="1" max="1" width="6.7109375" style="269" customWidth="1"/>
    <col min="2" max="2" width="17.8515625" style="269" customWidth="1"/>
    <col min="3" max="3" width="23.140625" style="269" customWidth="1"/>
    <col min="4" max="4" width="10.00390625" style="269" customWidth="1"/>
    <col min="5" max="5" width="11.00390625" style="269" customWidth="1"/>
    <col min="6" max="6" width="10.421875" style="269" customWidth="1"/>
    <col min="7" max="8" width="11.00390625" style="269" customWidth="1"/>
    <col min="9" max="15" width="8.57421875" style="269" customWidth="1"/>
    <col min="16" max="16" width="34.140625" style="269" customWidth="1"/>
    <col min="17" max="16384" width="9.140625" style="269" customWidth="1"/>
  </cols>
  <sheetData>
    <row r="1" s="266" customFormat="1" ht="12.75"/>
    <row r="2" spans="3:16" s="266" customFormat="1" ht="13.5" customHeight="1" thickBot="1">
      <c r="C2" s="267"/>
      <c r="D2" s="268"/>
      <c r="E2" s="268"/>
      <c r="F2" s="268"/>
      <c r="G2" s="268"/>
      <c r="H2" s="268"/>
      <c r="I2" s="268"/>
      <c r="J2" s="268"/>
      <c r="K2" s="268"/>
      <c r="L2" s="268"/>
      <c r="M2" s="268"/>
      <c r="N2" s="268"/>
      <c r="O2" s="268"/>
      <c r="P2" s="268"/>
    </row>
    <row r="3" spans="1:16" ht="19.5" customHeight="1" thickTop="1">
      <c r="A3" s="445" t="s">
        <v>507</v>
      </c>
      <c r="B3" s="446"/>
      <c r="C3" s="447" t="s">
        <v>492</v>
      </c>
      <c r="D3" s="456" t="s">
        <v>454</v>
      </c>
      <c r="E3" s="441" t="s">
        <v>11</v>
      </c>
      <c r="F3" s="447" t="s">
        <v>461</v>
      </c>
      <c r="G3" s="447" t="s">
        <v>462</v>
      </c>
      <c r="H3" s="456" t="s">
        <v>498</v>
      </c>
      <c r="I3" s="461" t="s">
        <v>497</v>
      </c>
      <c r="J3" s="462"/>
      <c r="K3" s="462"/>
      <c r="L3" s="462"/>
      <c r="M3" s="462"/>
      <c r="N3" s="462"/>
      <c r="O3" s="463"/>
      <c r="P3" s="443" t="s">
        <v>560</v>
      </c>
    </row>
    <row r="4" spans="1:16" ht="20.25" customHeight="1" thickBot="1">
      <c r="A4" s="270" t="s">
        <v>220</v>
      </c>
      <c r="B4" s="271" t="s">
        <v>214</v>
      </c>
      <c r="C4" s="448"/>
      <c r="D4" s="457"/>
      <c r="E4" s="442"/>
      <c r="F4" s="448"/>
      <c r="G4" s="448"/>
      <c r="H4" s="457"/>
      <c r="I4" s="270" t="s">
        <v>8</v>
      </c>
      <c r="J4" s="271" t="s">
        <v>546</v>
      </c>
      <c r="K4" s="271" t="s">
        <v>547</v>
      </c>
      <c r="L4" s="271" t="s">
        <v>548</v>
      </c>
      <c r="M4" s="271" t="s">
        <v>14</v>
      </c>
      <c r="N4" s="271" t="s">
        <v>549</v>
      </c>
      <c r="O4" s="272" t="s">
        <v>12</v>
      </c>
      <c r="P4" s="444"/>
    </row>
    <row r="5" spans="1:16" s="278" customFormat="1" ht="27" customHeight="1" thickTop="1">
      <c r="A5" s="434" t="str">
        <f>'Emission Factors'!A4</f>
        <v>#5</v>
      </c>
      <c r="B5" s="436" t="s">
        <v>542</v>
      </c>
      <c r="C5" s="449">
        <v>2300</v>
      </c>
      <c r="D5" s="458" t="s">
        <v>509</v>
      </c>
      <c r="E5" s="298" t="s">
        <v>8</v>
      </c>
      <c r="F5" s="317">
        <f>'Emission Factors'!D4</f>
        <v>0.0008340852382871555</v>
      </c>
      <c r="G5" s="273" t="str">
        <f>'Emission Factors'!E4</f>
        <v>lb/ton</v>
      </c>
      <c r="H5" s="274">
        <v>0.8</v>
      </c>
      <c r="I5" s="275">
        <f>(C5*F5)*(1-H5)</f>
        <v>0.38367920961209145</v>
      </c>
      <c r="J5" s="276"/>
      <c r="K5" s="276"/>
      <c r="L5" s="276"/>
      <c r="M5" s="276"/>
      <c r="N5" s="276"/>
      <c r="O5" s="277"/>
      <c r="P5" s="320" t="s">
        <v>557</v>
      </c>
    </row>
    <row r="6" spans="1:16" s="278" customFormat="1" ht="27" customHeight="1">
      <c r="A6" s="426"/>
      <c r="B6" s="429"/>
      <c r="C6" s="432"/>
      <c r="D6" s="459"/>
      <c r="E6" s="303" t="s">
        <v>550</v>
      </c>
      <c r="F6" s="318">
        <f>'Emission Factors'!D7</f>
        <v>0.0003944997748655465</v>
      </c>
      <c r="G6" s="279" t="str">
        <f>'Emission Factors'!E7</f>
        <v>lb/ton</v>
      </c>
      <c r="H6" s="281">
        <f>H5</f>
        <v>0.8</v>
      </c>
      <c r="I6" s="282"/>
      <c r="J6" s="283">
        <f>(C5*F6)*(1-H6)</f>
        <v>0.18146989643815134</v>
      </c>
      <c r="K6" s="284"/>
      <c r="L6" s="284"/>
      <c r="M6" s="284"/>
      <c r="N6" s="284"/>
      <c r="O6" s="285"/>
      <c r="P6" s="343" t="s">
        <v>557</v>
      </c>
    </row>
    <row r="7" spans="1:16" s="278" customFormat="1" ht="27" customHeight="1">
      <c r="A7" s="435"/>
      <c r="B7" s="437"/>
      <c r="C7" s="450"/>
      <c r="D7" s="460"/>
      <c r="E7" s="303" t="s">
        <v>551</v>
      </c>
      <c r="F7" s="318">
        <f>'Emission Factors'!D10</f>
        <v>5.973853733678276E-05</v>
      </c>
      <c r="G7" s="279" t="str">
        <f>'Emission Factors'!E10</f>
        <v>lb/ton</v>
      </c>
      <c r="H7" s="281">
        <f>H6</f>
        <v>0.8</v>
      </c>
      <c r="I7" s="282"/>
      <c r="J7" s="284"/>
      <c r="K7" s="283">
        <f>(C5*F7)*(1-H7)</f>
        <v>0.027479727174920063</v>
      </c>
      <c r="L7" s="284"/>
      <c r="M7" s="284"/>
      <c r="N7" s="284"/>
      <c r="O7" s="285"/>
      <c r="P7" s="343" t="s">
        <v>557</v>
      </c>
    </row>
    <row r="8" spans="1:16" s="278" customFormat="1" ht="27" customHeight="1">
      <c r="A8" s="425" t="str">
        <f>'Emission Factors'!A13</f>
        <v>GEN01</v>
      </c>
      <c r="B8" s="428" t="s">
        <v>543</v>
      </c>
      <c r="C8" s="431">
        <v>1105</v>
      </c>
      <c r="D8" s="468" t="s">
        <v>537</v>
      </c>
      <c r="E8" s="303" t="s">
        <v>552</v>
      </c>
      <c r="F8" s="303">
        <f>'Emission Factors'!D13</f>
        <v>0.02</v>
      </c>
      <c r="G8" s="279" t="str">
        <f>'Emission Factors'!E13</f>
        <v>g/hp-hr</v>
      </c>
      <c r="H8" s="287" t="s">
        <v>538</v>
      </c>
      <c r="I8" s="282">
        <f>C8*F8*(1/453.6)</f>
        <v>0.04872134038800705</v>
      </c>
      <c r="J8" s="284">
        <f>I8</f>
        <v>0.04872134038800705</v>
      </c>
      <c r="K8" s="284">
        <f>I8</f>
        <v>0.04872134038800705</v>
      </c>
      <c r="L8" s="284"/>
      <c r="M8" s="284"/>
      <c r="N8" s="284"/>
      <c r="O8" s="285"/>
      <c r="P8" s="286"/>
    </row>
    <row r="9" spans="1:16" s="278" customFormat="1" ht="27" customHeight="1">
      <c r="A9" s="426"/>
      <c r="B9" s="429"/>
      <c r="C9" s="432"/>
      <c r="D9" s="459"/>
      <c r="E9" s="303" t="s">
        <v>13</v>
      </c>
      <c r="F9" s="303">
        <f>'Emission Factors'!D15</f>
        <v>4.61</v>
      </c>
      <c r="G9" s="279" t="str">
        <f>'Emission Factors'!E15</f>
        <v>g/hp-hr</v>
      </c>
      <c r="H9" s="288" t="str">
        <f>H8</f>
        <v>na</v>
      </c>
      <c r="I9" s="282"/>
      <c r="J9" s="284"/>
      <c r="K9" s="284"/>
      <c r="L9" s="284">
        <f>C8*F9*(1/453.6)</f>
        <v>11.230268959435627</v>
      </c>
      <c r="M9" s="284"/>
      <c r="N9" s="284"/>
      <c r="O9" s="285"/>
      <c r="P9" s="286"/>
    </row>
    <row r="10" spans="1:16" s="278" customFormat="1" ht="27" customHeight="1">
      <c r="A10" s="426"/>
      <c r="B10" s="429"/>
      <c r="C10" s="432"/>
      <c r="D10" s="459"/>
      <c r="E10" s="303" t="s">
        <v>14</v>
      </c>
      <c r="F10" s="303">
        <f>'Emission Factors'!D14</f>
        <v>0.27</v>
      </c>
      <c r="G10" s="279" t="str">
        <f>'Emission Factors'!E14</f>
        <v>g/hp-hr</v>
      </c>
      <c r="H10" s="288" t="str">
        <f>H9</f>
        <v>na</v>
      </c>
      <c r="I10" s="282"/>
      <c r="J10" s="284"/>
      <c r="K10" s="284"/>
      <c r="L10" s="284"/>
      <c r="M10" s="284">
        <f>C8*F10*(1/453.6)</f>
        <v>0.6577380952380952</v>
      </c>
      <c r="N10" s="284"/>
      <c r="O10" s="285"/>
      <c r="P10" s="286"/>
    </row>
    <row r="11" spans="1:16" s="278" customFormat="1" ht="27" customHeight="1">
      <c r="A11" s="426"/>
      <c r="B11" s="429"/>
      <c r="C11" s="432"/>
      <c r="D11" s="459"/>
      <c r="E11" s="303" t="s">
        <v>12</v>
      </c>
      <c r="F11" s="303">
        <f>'Emission Factors'!D16</f>
        <v>0.03</v>
      </c>
      <c r="G11" s="279" t="str">
        <f>'Emission Factors'!E16</f>
        <v>g/hp-hr</v>
      </c>
      <c r="H11" s="288" t="str">
        <f>H10</f>
        <v>na</v>
      </c>
      <c r="I11" s="282"/>
      <c r="J11" s="284"/>
      <c r="K11" s="284"/>
      <c r="L11" s="284"/>
      <c r="M11" s="284"/>
      <c r="N11" s="284"/>
      <c r="O11" s="285">
        <f>C8*F11*(1/453.6)</f>
        <v>0.07308201058201058</v>
      </c>
      <c r="P11" s="286"/>
    </row>
    <row r="12" spans="1:16" s="278" customFormat="1" ht="27" customHeight="1" thickBot="1">
      <c r="A12" s="427"/>
      <c r="B12" s="430"/>
      <c r="C12" s="433"/>
      <c r="D12" s="469"/>
      <c r="E12" s="310" t="s">
        <v>553</v>
      </c>
      <c r="F12" s="319">
        <f>'Emission Factors'!D17</f>
        <v>0.0112251</v>
      </c>
      <c r="G12" s="289" t="str">
        <f>'Emission Factors'!E17</f>
        <v>lb/hr</v>
      </c>
      <c r="H12" s="290" t="str">
        <f>H11</f>
        <v>na</v>
      </c>
      <c r="I12" s="291"/>
      <c r="J12" s="292"/>
      <c r="K12" s="292"/>
      <c r="L12" s="292"/>
      <c r="M12" s="292"/>
      <c r="N12" s="293">
        <f>F12</f>
        <v>0.0112251</v>
      </c>
      <c r="O12" s="294"/>
      <c r="P12" s="295"/>
    </row>
    <row r="13" spans="3:10" ht="13.5" thickTop="1">
      <c r="C13" s="296"/>
      <c r="D13" s="297"/>
      <c r="E13" s="297"/>
      <c r="F13" s="297"/>
      <c r="G13" s="297"/>
      <c r="H13" s="297"/>
      <c r="I13" s="297"/>
      <c r="J13" s="297"/>
    </row>
    <row r="14" spans="3:10" ht="13.5" customHeight="1" thickBot="1">
      <c r="C14" s="296"/>
      <c r="D14" s="297"/>
      <c r="E14" s="297"/>
      <c r="F14" s="297"/>
      <c r="G14" s="297"/>
      <c r="H14" s="297"/>
      <c r="I14" s="297"/>
      <c r="J14" s="297"/>
    </row>
    <row r="15" spans="1:16" ht="19.5" customHeight="1" thickTop="1">
      <c r="A15" s="445" t="s">
        <v>507</v>
      </c>
      <c r="B15" s="446"/>
      <c r="C15" s="447" t="s">
        <v>495</v>
      </c>
      <c r="D15" s="456" t="s">
        <v>454</v>
      </c>
      <c r="E15" s="441" t="s">
        <v>11</v>
      </c>
      <c r="F15" s="441" t="s">
        <v>461</v>
      </c>
      <c r="G15" s="441" t="s">
        <v>462</v>
      </c>
      <c r="H15" s="451" t="s">
        <v>498</v>
      </c>
      <c r="I15" s="461" t="s">
        <v>496</v>
      </c>
      <c r="J15" s="462"/>
      <c r="K15" s="462"/>
      <c r="L15" s="462"/>
      <c r="M15" s="462"/>
      <c r="N15" s="462"/>
      <c r="O15" s="463"/>
      <c r="P15" s="443" t="s">
        <v>576</v>
      </c>
    </row>
    <row r="16" spans="1:16" ht="20.25" customHeight="1" thickBot="1">
      <c r="A16" s="270" t="s">
        <v>220</v>
      </c>
      <c r="B16" s="271" t="s">
        <v>214</v>
      </c>
      <c r="C16" s="448"/>
      <c r="D16" s="457"/>
      <c r="E16" s="442"/>
      <c r="F16" s="442"/>
      <c r="G16" s="442"/>
      <c r="H16" s="452"/>
      <c r="I16" s="270" t="s">
        <v>8</v>
      </c>
      <c r="J16" s="271" t="s">
        <v>546</v>
      </c>
      <c r="K16" s="271" t="s">
        <v>547</v>
      </c>
      <c r="L16" s="271" t="s">
        <v>548</v>
      </c>
      <c r="M16" s="271" t="s">
        <v>14</v>
      </c>
      <c r="N16" s="271" t="s">
        <v>549</v>
      </c>
      <c r="O16" s="272" t="s">
        <v>12</v>
      </c>
      <c r="P16" s="444"/>
    </row>
    <row r="17" spans="1:16" s="278" customFormat="1" ht="27" customHeight="1" thickTop="1">
      <c r="A17" s="434" t="str">
        <f>A5</f>
        <v>#5</v>
      </c>
      <c r="B17" s="436" t="str">
        <f>'Emission Factors'!B4</f>
        <v>truck loading from
front end loader</v>
      </c>
      <c r="C17" s="438">
        <f>C5*8760</f>
        <v>20148000</v>
      </c>
      <c r="D17" s="458" t="s">
        <v>521</v>
      </c>
      <c r="E17" s="298" t="str">
        <f aca="true" t="shared" si="0" ref="E17:E24">E5</f>
        <v>PM</v>
      </c>
      <c r="F17" s="317">
        <f aca="true" t="shared" si="1" ref="F17:H19">F5</f>
        <v>0.0008340852382871555</v>
      </c>
      <c r="G17" s="298" t="str">
        <f t="shared" si="1"/>
        <v>lb/ton</v>
      </c>
      <c r="H17" s="299">
        <f t="shared" si="1"/>
        <v>0.8</v>
      </c>
      <c r="I17" s="300">
        <f>C17*F17/2000*(1-H17)</f>
        <v>1.6805149381009603</v>
      </c>
      <c r="J17" s="276"/>
      <c r="K17" s="276"/>
      <c r="L17" s="301"/>
      <c r="M17" s="301"/>
      <c r="N17" s="301"/>
      <c r="O17" s="302"/>
      <c r="P17" s="422" t="s">
        <v>574</v>
      </c>
    </row>
    <row r="18" spans="1:16" s="278" customFormat="1" ht="27" customHeight="1">
      <c r="A18" s="426"/>
      <c r="B18" s="429"/>
      <c r="C18" s="439"/>
      <c r="D18" s="459"/>
      <c r="E18" s="303" t="s">
        <v>550</v>
      </c>
      <c r="F18" s="318">
        <f t="shared" si="1"/>
        <v>0.0003944997748655465</v>
      </c>
      <c r="G18" s="303" t="str">
        <f t="shared" si="1"/>
        <v>lb/ton</v>
      </c>
      <c r="H18" s="281">
        <f t="shared" si="1"/>
        <v>0.8</v>
      </c>
      <c r="I18" s="282"/>
      <c r="J18" s="283">
        <f>C17*F18/2000*(1-H18)</f>
        <v>0.7948381463991029</v>
      </c>
      <c r="K18" s="284"/>
      <c r="L18" s="304"/>
      <c r="M18" s="304"/>
      <c r="N18" s="304"/>
      <c r="O18" s="305"/>
      <c r="P18" s="423"/>
    </row>
    <row r="19" spans="1:16" s="278" customFormat="1" ht="27" customHeight="1">
      <c r="A19" s="435"/>
      <c r="B19" s="437"/>
      <c r="C19" s="440"/>
      <c r="D19" s="460"/>
      <c r="E19" s="303" t="s">
        <v>551</v>
      </c>
      <c r="F19" s="318">
        <f t="shared" si="1"/>
        <v>5.973853733678276E-05</v>
      </c>
      <c r="G19" s="303" t="str">
        <f t="shared" si="1"/>
        <v>lb/ton</v>
      </c>
      <c r="H19" s="281">
        <f t="shared" si="1"/>
        <v>0.8</v>
      </c>
      <c r="I19" s="282"/>
      <c r="J19" s="284"/>
      <c r="K19" s="283">
        <f>C17*F19/2000*(1-H19)</f>
        <v>0.12036120502614989</v>
      </c>
      <c r="L19" s="304"/>
      <c r="M19" s="304"/>
      <c r="N19" s="304"/>
      <c r="O19" s="305"/>
      <c r="P19" s="424"/>
    </row>
    <row r="20" spans="1:16" s="278" customFormat="1" ht="27" customHeight="1">
      <c r="A20" s="464" t="str">
        <f>A8</f>
        <v>GEN01</v>
      </c>
      <c r="B20" s="466" t="str">
        <f>'Emission Factors'!B13</f>
        <v>emergency generator</v>
      </c>
      <c r="C20" s="428">
        <v>500</v>
      </c>
      <c r="D20" s="468" t="s">
        <v>539</v>
      </c>
      <c r="E20" s="303" t="s">
        <v>552</v>
      </c>
      <c r="F20" s="303">
        <f>F8</f>
        <v>0.02</v>
      </c>
      <c r="G20" s="279" t="s">
        <v>523</v>
      </c>
      <c r="H20" s="280" t="s">
        <v>538</v>
      </c>
      <c r="I20" s="306">
        <f>I8*C20*1/2000</f>
        <v>0.012180335097001763</v>
      </c>
      <c r="J20" s="307">
        <f>J8*C20*1/2000</f>
        <v>0.012180335097001763</v>
      </c>
      <c r="K20" s="307">
        <f>K8*C20*1/2000</f>
        <v>0.012180335097001763</v>
      </c>
      <c r="L20" s="283"/>
      <c r="M20" s="283"/>
      <c r="N20" s="283"/>
      <c r="O20" s="308"/>
      <c r="P20" s="453" t="s">
        <v>575</v>
      </c>
    </row>
    <row r="21" spans="1:16" s="278" customFormat="1" ht="27" customHeight="1">
      <c r="A21" s="464"/>
      <c r="B21" s="466"/>
      <c r="C21" s="429"/>
      <c r="D21" s="459"/>
      <c r="E21" s="303" t="str">
        <f t="shared" si="0"/>
        <v>NOx</v>
      </c>
      <c r="F21" s="303">
        <f>F9</f>
        <v>4.61</v>
      </c>
      <c r="G21" s="279" t="s">
        <v>523</v>
      </c>
      <c r="H21" s="280" t="s">
        <v>538</v>
      </c>
      <c r="I21" s="306"/>
      <c r="J21" s="283"/>
      <c r="K21" s="283"/>
      <c r="L21" s="283">
        <f>L9*C20*1/2000</f>
        <v>2.8075672398589067</v>
      </c>
      <c r="M21" s="283"/>
      <c r="N21" s="283"/>
      <c r="O21" s="308"/>
      <c r="P21" s="454"/>
    </row>
    <row r="22" spans="1:16" s="278" customFormat="1" ht="27" customHeight="1">
      <c r="A22" s="464"/>
      <c r="B22" s="466"/>
      <c r="C22" s="429"/>
      <c r="D22" s="459"/>
      <c r="E22" s="303" t="str">
        <f t="shared" si="0"/>
        <v>CO</v>
      </c>
      <c r="F22" s="303">
        <f>F10</f>
        <v>0.27</v>
      </c>
      <c r="G22" s="279" t="s">
        <v>523</v>
      </c>
      <c r="H22" s="280" t="s">
        <v>538</v>
      </c>
      <c r="I22" s="306"/>
      <c r="J22" s="283"/>
      <c r="K22" s="283"/>
      <c r="L22" s="283"/>
      <c r="M22" s="283">
        <f>M10*C20*1/2000</f>
        <v>0.1644345238095238</v>
      </c>
      <c r="N22" s="283"/>
      <c r="O22" s="308"/>
      <c r="P22" s="454"/>
    </row>
    <row r="23" spans="1:16" s="278" customFormat="1" ht="27" customHeight="1">
      <c r="A23" s="464"/>
      <c r="B23" s="466"/>
      <c r="C23" s="429"/>
      <c r="D23" s="459"/>
      <c r="E23" s="303" t="str">
        <f t="shared" si="0"/>
        <v>VOC</v>
      </c>
      <c r="F23" s="303">
        <f>F11</f>
        <v>0.03</v>
      </c>
      <c r="G23" s="279" t="s">
        <v>523</v>
      </c>
      <c r="H23" s="280" t="s">
        <v>538</v>
      </c>
      <c r="I23" s="306"/>
      <c r="J23" s="283"/>
      <c r="K23" s="283"/>
      <c r="L23" s="283"/>
      <c r="M23" s="283"/>
      <c r="N23" s="283"/>
      <c r="O23" s="309">
        <f>O11*C20*1/2000</f>
        <v>0.018270502645502645</v>
      </c>
      <c r="P23" s="454"/>
    </row>
    <row r="24" spans="1:16" s="278" customFormat="1" ht="27" customHeight="1" thickBot="1">
      <c r="A24" s="465"/>
      <c r="B24" s="467"/>
      <c r="C24" s="430"/>
      <c r="D24" s="469"/>
      <c r="E24" s="310" t="str">
        <f t="shared" si="0"/>
        <v>SO2</v>
      </c>
      <c r="F24" s="293">
        <f>F12</f>
        <v>0.0112251</v>
      </c>
      <c r="G24" s="310" t="s">
        <v>526</v>
      </c>
      <c r="H24" s="311" t="s">
        <v>538</v>
      </c>
      <c r="I24" s="312"/>
      <c r="J24" s="313"/>
      <c r="K24" s="313"/>
      <c r="L24" s="313"/>
      <c r="M24" s="313"/>
      <c r="N24" s="314">
        <f>N12*C20*1/2000</f>
        <v>0.002806275</v>
      </c>
      <c r="O24" s="315"/>
      <c r="P24" s="455"/>
    </row>
    <row r="25" spans="1:10" ht="13.5" thickTop="1">
      <c r="A25" s="316"/>
      <c r="B25" s="316"/>
      <c r="D25" s="297"/>
      <c r="E25" s="297"/>
      <c r="F25" s="297"/>
      <c r="G25" s="297"/>
      <c r="H25" s="297"/>
      <c r="I25" s="297"/>
      <c r="J25" s="297"/>
    </row>
    <row r="26" spans="1:10" ht="12.75">
      <c r="A26" s="266"/>
      <c r="B26" s="266"/>
      <c r="D26" s="297"/>
      <c r="E26" s="297"/>
      <c r="F26" s="297"/>
      <c r="G26" s="297"/>
      <c r="H26" s="297"/>
      <c r="I26" s="297"/>
      <c r="J26" s="297"/>
    </row>
    <row r="27" spans="1:10" ht="12.75">
      <c r="A27" s="266"/>
      <c r="B27" s="266"/>
      <c r="D27" s="297"/>
      <c r="E27" s="297"/>
      <c r="F27" s="297"/>
      <c r="G27" s="297"/>
      <c r="H27" s="297"/>
      <c r="I27" s="297"/>
      <c r="J27" s="297"/>
    </row>
    <row r="30" ht="12.75">
      <c r="B30" s="297"/>
    </row>
  </sheetData>
  <sheetProtection/>
  <mergeCells count="36">
    <mergeCell ref="A20:A24"/>
    <mergeCell ref="B20:B24"/>
    <mergeCell ref="D8:D12"/>
    <mergeCell ref="D15:D16"/>
    <mergeCell ref="C20:C24"/>
    <mergeCell ref="D20:D24"/>
    <mergeCell ref="D17:D19"/>
    <mergeCell ref="P20:P24"/>
    <mergeCell ref="D3:D4"/>
    <mergeCell ref="H3:H4"/>
    <mergeCell ref="F3:F4"/>
    <mergeCell ref="G3:G4"/>
    <mergeCell ref="E3:E4"/>
    <mergeCell ref="D5:D7"/>
    <mergeCell ref="I15:O15"/>
    <mergeCell ref="I3:O3"/>
    <mergeCell ref="P15:P16"/>
    <mergeCell ref="P3:P4"/>
    <mergeCell ref="A15:B15"/>
    <mergeCell ref="C3:C4"/>
    <mergeCell ref="C15:C16"/>
    <mergeCell ref="C5:C7"/>
    <mergeCell ref="A5:A7"/>
    <mergeCell ref="B5:B7"/>
    <mergeCell ref="A3:B3"/>
    <mergeCell ref="H15:H16"/>
    <mergeCell ref="P17:P19"/>
    <mergeCell ref="A8:A12"/>
    <mergeCell ref="B8:B12"/>
    <mergeCell ref="C8:C12"/>
    <mergeCell ref="A17:A19"/>
    <mergeCell ref="B17:B19"/>
    <mergeCell ref="C17:C19"/>
    <mergeCell ref="F15:F16"/>
    <mergeCell ref="G15:G16"/>
    <mergeCell ref="E15:E16"/>
  </mergeCells>
  <printOptions horizontalCentered="1"/>
  <pageMargins left="0.5" right="0.5" top="1" bottom="0.5" header="0.5" footer="0.25"/>
  <pageSetup fitToHeight="1" fitToWidth="1" horizontalDpi="600" verticalDpi="600" orientation="landscape" scale="73" r:id="rId1"/>
  <headerFooter alignWithMargins="0">
    <oddHeader>&amp;C&amp;"Times New Roman,Bold"&amp;12EMISSION CALCULATIONS
</oddHeader>
    <oddFooter>&amp;R&amp;A
Print  Date: &amp;D</oddFoot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G20"/>
  <sheetViews>
    <sheetView zoomScalePageLayoutView="0" workbookViewId="0" topLeftCell="A1">
      <selection activeCell="O23" sqref="O23"/>
    </sheetView>
  </sheetViews>
  <sheetFormatPr defaultColWidth="9.140625" defaultRowHeight="12"/>
  <cols>
    <col min="3" max="3" width="17.57421875" style="0" customWidth="1"/>
    <col min="4" max="4" width="20.57421875" style="0" customWidth="1"/>
    <col min="5" max="5" width="11.421875" style="0" customWidth="1"/>
    <col min="6" max="6" width="18.8515625" style="0" customWidth="1"/>
    <col min="7" max="7" width="12.8515625" style="0" customWidth="1"/>
  </cols>
  <sheetData>
    <row r="1" spans="1:7" ht="12">
      <c r="A1" s="35" t="s">
        <v>451</v>
      </c>
      <c r="B1" s="9"/>
      <c r="C1" s="6"/>
      <c r="D1" s="6"/>
      <c r="E1" s="6"/>
      <c r="F1" s="6"/>
      <c r="G1" s="6"/>
    </row>
    <row r="2" spans="1:7" ht="13.5">
      <c r="A2" s="59" t="s">
        <v>371</v>
      </c>
      <c r="B2" s="59"/>
      <c r="C2" s="195"/>
      <c r="D2" s="195"/>
      <c r="E2" s="195"/>
      <c r="F2" s="195"/>
      <c r="G2" s="195"/>
    </row>
    <row r="3" spans="1:7" ht="13.5">
      <c r="A3" s="196" t="s">
        <v>37</v>
      </c>
      <c r="B3" s="196"/>
      <c r="C3" s="197"/>
      <c r="D3" s="197"/>
      <c r="E3" s="197"/>
      <c r="F3" s="197"/>
      <c r="G3" s="197"/>
    </row>
    <row r="4" spans="1:7" ht="68.25" customHeight="1">
      <c r="A4" s="138" t="s">
        <v>11</v>
      </c>
      <c r="B4" s="191" t="s">
        <v>421</v>
      </c>
      <c r="C4" s="191" t="s">
        <v>422</v>
      </c>
      <c r="D4" s="191" t="s">
        <v>423</v>
      </c>
      <c r="E4" s="191" t="s">
        <v>424</v>
      </c>
      <c r="F4" s="191" t="s">
        <v>425</v>
      </c>
      <c r="G4" s="191" t="s">
        <v>426</v>
      </c>
    </row>
    <row r="5" spans="1:7" ht="13.5">
      <c r="A5" s="58" t="s">
        <v>373</v>
      </c>
      <c r="B5" s="192">
        <f>(('Mat Hand Pt Source Baseline'!N34+'Mat Hand Pt Source Baseline'!P34)/2)+(('Material Handling Baseline'!AH47+'Material Handling Baseline'!AL47)/2)</f>
        <v>33.237980848439406</v>
      </c>
      <c r="C5" s="192" t="e">
        <f>((#REF!+#REF!)/2)+((#REF!+#REF!)/2)</f>
        <v>#REF!</v>
      </c>
      <c r="D5" s="192">
        <f>B5*('Boilers Actual to Actual'!E7/'Boilers Actual to Actual'!C7)</f>
        <v>35.4240673603837</v>
      </c>
      <c r="E5" s="192">
        <f>D5-B5</f>
        <v>2.1860865119442963</v>
      </c>
      <c r="F5" s="192" t="e">
        <f>C5-E5</f>
        <v>#REF!</v>
      </c>
      <c r="G5" s="192" t="e">
        <f>C5-B5-E5</f>
        <v>#REF!</v>
      </c>
    </row>
    <row r="6" spans="1:7" ht="12">
      <c r="A6" s="58" t="s">
        <v>8</v>
      </c>
      <c r="B6" s="192">
        <f>(('Mat Hand Pt Source Baseline'!N34+'Mat Hand Pt Source Baseline'!P34)/2)+(('Material Handling Baseline'!AJ47+'Material Handling Baseline'!AN47)/2)</f>
        <v>33.70161974098792</v>
      </c>
      <c r="C6" s="90" t="e">
        <f>((#REF!+#REF!)/2)+((#REF!+#REF!)/2)</f>
        <v>#REF!</v>
      </c>
      <c r="D6" s="90">
        <f>B6*('Boilers Actual to Actual'!E5/'Boilers Actual to Actual'!C5)</f>
        <v>35.84224081457223</v>
      </c>
      <c r="E6" s="90">
        <f>D6-B6</f>
        <v>2.140621073584306</v>
      </c>
      <c r="F6" s="192" t="e">
        <f>C6-E6</f>
        <v>#REF!</v>
      </c>
      <c r="G6" s="192" t="e">
        <f>C6-B6-E6</f>
        <v>#REF!</v>
      </c>
    </row>
    <row r="7" spans="1:7" ht="12">
      <c r="A7" s="58"/>
      <c r="B7" s="193"/>
      <c r="C7" s="193"/>
      <c r="D7" s="194"/>
      <c r="E7" s="194"/>
      <c r="F7" s="193"/>
      <c r="G7" s="193"/>
    </row>
    <row r="8" spans="1:7" ht="12">
      <c r="A8" s="58" t="s">
        <v>374</v>
      </c>
      <c r="B8" s="193"/>
      <c r="C8" s="193"/>
      <c r="D8" s="194"/>
      <c r="E8" s="194"/>
      <c r="F8" s="193"/>
      <c r="G8" s="193"/>
    </row>
    <row r="9" spans="1:7" ht="12">
      <c r="A9" s="58" t="s">
        <v>375</v>
      </c>
      <c r="B9" s="193"/>
      <c r="C9" s="193"/>
      <c r="D9" s="194"/>
      <c r="E9" s="194"/>
      <c r="F9" s="193"/>
      <c r="G9" s="193"/>
    </row>
    <row r="10" spans="1:7" ht="12">
      <c r="A10" s="58" t="s">
        <v>441</v>
      </c>
      <c r="B10" s="193"/>
      <c r="C10" s="193"/>
      <c r="D10" s="194"/>
      <c r="E10" s="194"/>
      <c r="F10" s="193"/>
      <c r="G10" s="193"/>
    </row>
    <row r="11" spans="1:7" ht="12">
      <c r="A11" s="58" t="s">
        <v>376</v>
      </c>
      <c r="B11" s="193"/>
      <c r="C11" s="193"/>
      <c r="D11" s="194"/>
      <c r="E11" s="194"/>
      <c r="F11" s="193"/>
      <c r="G11" s="193"/>
    </row>
    <row r="13" ht="12">
      <c r="A13" s="50" t="s">
        <v>427</v>
      </c>
    </row>
    <row r="14" ht="12">
      <c r="A14" s="50" t="s">
        <v>428</v>
      </c>
    </row>
    <row r="15" ht="12">
      <c r="A15" s="50" t="s">
        <v>429</v>
      </c>
    </row>
    <row r="16" ht="12">
      <c r="A16" s="50" t="s">
        <v>430</v>
      </c>
    </row>
    <row r="17" ht="12">
      <c r="A17" s="54" t="s">
        <v>377</v>
      </c>
    </row>
    <row r="18" ht="12">
      <c r="A18" s="54" t="s">
        <v>378</v>
      </c>
    </row>
    <row r="19" ht="12">
      <c r="A19" s="54" t="s">
        <v>158</v>
      </c>
    </row>
    <row r="20" ht="12">
      <c r="A20" s="54" t="s">
        <v>379</v>
      </c>
    </row>
  </sheetData>
  <sheetProtection/>
  <printOptions/>
  <pageMargins left="0.75" right="0.75" top="1" bottom="1" header="0.5" footer="0.5"/>
  <pageSetup fitToHeight="1" fitToWidth="1" horizontalDpi="600" verticalDpi="600" orientation="landscape" scale="99"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R34"/>
  <sheetViews>
    <sheetView zoomScalePageLayoutView="0" workbookViewId="0" topLeftCell="A1">
      <selection activeCell="A1" sqref="A1"/>
    </sheetView>
  </sheetViews>
  <sheetFormatPr defaultColWidth="9.140625" defaultRowHeight="12"/>
  <cols>
    <col min="2" max="2" width="19.140625" style="0" bestFit="1" customWidth="1"/>
    <col min="3" max="3" width="10.57421875" style="0" bestFit="1" customWidth="1"/>
  </cols>
  <sheetData>
    <row r="1" spans="1:15" ht="15.75">
      <c r="A1" s="35" t="s">
        <v>452</v>
      </c>
      <c r="B1" s="9"/>
      <c r="C1" s="6"/>
      <c r="D1" s="94"/>
      <c r="E1" s="94"/>
      <c r="F1" s="94"/>
      <c r="G1" s="94"/>
      <c r="H1" s="94"/>
      <c r="I1" s="94"/>
      <c r="J1" s="94"/>
      <c r="K1" s="94"/>
      <c r="L1" s="94"/>
      <c r="M1" s="94"/>
      <c r="N1" s="94"/>
      <c r="O1" s="94"/>
    </row>
    <row r="2" spans="1:15" ht="15.75">
      <c r="A2" s="59" t="s">
        <v>419</v>
      </c>
      <c r="B2" s="59"/>
      <c r="C2" s="195"/>
      <c r="D2" s="94"/>
      <c r="E2" s="94"/>
      <c r="F2" s="94"/>
      <c r="G2" s="94"/>
      <c r="H2" s="94"/>
      <c r="I2" s="94"/>
      <c r="J2" s="94"/>
      <c r="K2" s="94"/>
      <c r="L2" s="94"/>
      <c r="M2" s="94"/>
      <c r="N2" s="94"/>
      <c r="O2" s="94"/>
    </row>
    <row r="3" spans="1:15" ht="15.75">
      <c r="A3" s="196" t="s">
        <v>37</v>
      </c>
      <c r="B3" s="196"/>
      <c r="C3" s="197"/>
      <c r="D3" s="94"/>
      <c r="E3" s="94"/>
      <c r="F3" s="94"/>
      <c r="G3" s="94"/>
      <c r="H3" s="94"/>
      <c r="I3" s="94"/>
      <c r="J3" s="94"/>
      <c r="K3" s="94"/>
      <c r="L3" s="94"/>
      <c r="M3" s="94"/>
      <c r="N3" s="94"/>
      <c r="O3" s="94"/>
    </row>
    <row r="4" spans="1:18" ht="12">
      <c r="A4" s="372" t="s">
        <v>413</v>
      </c>
      <c r="B4" s="470"/>
      <c r="C4" s="470"/>
      <c r="D4" s="470"/>
      <c r="E4" s="470"/>
      <c r="F4" s="470"/>
      <c r="G4" s="470"/>
      <c r="H4" s="470"/>
      <c r="I4" s="470"/>
      <c r="J4" s="470"/>
      <c r="K4" s="471"/>
      <c r="L4" s="472">
        <v>2005</v>
      </c>
      <c r="M4" s="473"/>
      <c r="N4" s="472">
        <v>2006</v>
      </c>
      <c r="O4" s="473"/>
      <c r="P4" s="58"/>
      <c r="Q4" s="58"/>
      <c r="R4" s="58"/>
    </row>
    <row r="5" spans="1:18" ht="49.5">
      <c r="A5" s="96" t="s">
        <v>324</v>
      </c>
      <c r="B5" s="140" t="s">
        <v>380</v>
      </c>
      <c r="C5" s="140" t="s">
        <v>381</v>
      </c>
      <c r="D5" s="167" t="s">
        <v>382</v>
      </c>
      <c r="E5" s="167" t="s">
        <v>383</v>
      </c>
      <c r="F5" s="167" t="s">
        <v>384</v>
      </c>
      <c r="G5" s="167" t="s">
        <v>385</v>
      </c>
      <c r="H5" s="167" t="s">
        <v>386</v>
      </c>
      <c r="I5" s="167" t="s">
        <v>414</v>
      </c>
      <c r="J5" s="167" t="s">
        <v>415</v>
      </c>
      <c r="K5" s="167" t="s">
        <v>387</v>
      </c>
      <c r="L5" s="167" t="s">
        <v>416</v>
      </c>
      <c r="M5" s="167" t="s">
        <v>388</v>
      </c>
      <c r="N5" s="167" t="s">
        <v>416</v>
      </c>
      <c r="O5" s="167" t="s">
        <v>388</v>
      </c>
      <c r="P5" s="58"/>
      <c r="Q5" s="58"/>
      <c r="R5" s="58"/>
    </row>
    <row r="6" spans="1:18" ht="12">
      <c r="A6" s="198" t="s">
        <v>389</v>
      </c>
      <c r="B6" s="153" t="s">
        <v>390</v>
      </c>
      <c r="C6" s="189" t="s">
        <v>391</v>
      </c>
      <c r="D6" s="200">
        <f>3471*0.385</f>
        <v>1336.335</v>
      </c>
      <c r="E6" s="201">
        <v>6.4</v>
      </c>
      <c r="F6" s="202">
        <v>15</v>
      </c>
      <c r="G6" s="203">
        <v>73.8</v>
      </c>
      <c r="H6" s="202">
        <v>65</v>
      </c>
      <c r="I6" s="204">
        <f>1.5*(E6/12)^0.9*(G6/3)^0.45*((365-H6)/365)</f>
        <v>2.9589614196433933</v>
      </c>
      <c r="J6" s="204">
        <f>4.9*(E6/12)^0.7*(G6/3)^0.45*((365-H6)/365)</f>
        <v>10.960853624311863</v>
      </c>
      <c r="K6" s="205">
        <v>0.8</v>
      </c>
      <c r="L6" s="206">
        <f>D6*I6/2000*(100%-K6)</f>
        <v>0.39541637087191533</v>
      </c>
      <c r="M6" s="206">
        <f>D6*J6/2000*(100%-K6)</f>
        <v>1.464737232804479</v>
      </c>
      <c r="N6" s="206">
        <f>D6*I6/2000*(100%-K6)</f>
        <v>0.39541637087191533</v>
      </c>
      <c r="O6" s="206">
        <f>D6*J6/2000*(100%-K6)</f>
        <v>1.464737232804479</v>
      </c>
      <c r="P6" s="58"/>
      <c r="Q6" s="58"/>
      <c r="R6" s="58"/>
    </row>
    <row r="7" spans="1:18" ht="12">
      <c r="A7" s="198" t="s">
        <v>389</v>
      </c>
      <c r="B7" s="153" t="s">
        <v>392</v>
      </c>
      <c r="C7" s="189" t="s">
        <v>391</v>
      </c>
      <c r="D7" s="200">
        <f>3471*0.615</f>
        <v>2134.665</v>
      </c>
      <c r="E7" s="201">
        <v>6.4</v>
      </c>
      <c r="F7" s="202">
        <v>15</v>
      </c>
      <c r="G7" s="203">
        <v>73.8</v>
      </c>
      <c r="H7" s="202">
        <v>65</v>
      </c>
      <c r="I7" s="204">
        <f>1.5*(E7/12)^0.9*(G7/3)^0.45*((365-H7)/365)</f>
        <v>2.9589614196433933</v>
      </c>
      <c r="J7" s="204">
        <f>4.9*(E7/12)^0.7*(G7/3)^0.45*((365-H7)/365)</f>
        <v>10.960853624311863</v>
      </c>
      <c r="K7" s="205">
        <v>0.8</v>
      </c>
      <c r="L7" s="206">
        <f>D7*I7/2000*(100%-K7)</f>
        <v>0.6316391378863063</v>
      </c>
      <c r="M7" s="206">
        <f>D7*J7/2000*(100%-K7)</f>
        <v>2.339775060194168</v>
      </c>
      <c r="N7" s="206">
        <f>D7*I7/2000*(100%-K7)</f>
        <v>0.6316391378863063</v>
      </c>
      <c r="O7" s="206">
        <f>D7*J7/2000*(100%-K7)</f>
        <v>2.339775060194168</v>
      </c>
      <c r="P7" s="58"/>
      <c r="Q7" s="58"/>
      <c r="R7" s="58"/>
    </row>
    <row r="8" spans="1:18" ht="12">
      <c r="A8" s="198" t="s">
        <v>389</v>
      </c>
      <c r="B8" s="153" t="s">
        <v>393</v>
      </c>
      <c r="C8" s="189" t="s">
        <v>394</v>
      </c>
      <c r="D8" s="200">
        <v>2308.238636363636</v>
      </c>
      <c r="E8" s="201">
        <v>6.4</v>
      </c>
      <c r="F8" s="202">
        <v>15</v>
      </c>
      <c r="G8" s="203">
        <v>73.8</v>
      </c>
      <c r="H8" s="202">
        <v>65</v>
      </c>
      <c r="I8" s="204">
        <f>1.5*(E8/12)^0.9*(G8/3)^0.45*((365-H8)/365)</f>
        <v>2.9589614196433933</v>
      </c>
      <c r="J8" s="204">
        <f>4.9*(E8/12)^0.7*(G8/3)^0.45*((365-H8)/365)</f>
        <v>10.960853624311863</v>
      </c>
      <c r="K8" s="205">
        <v>0.8</v>
      </c>
      <c r="L8" s="206">
        <f>D8*I8/2000*(100%-K8)</f>
        <v>0.6829989072330274</v>
      </c>
      <c r="M8" s="206">
        <f>D8*J8/2000*(100%-K8)</f>
        <v>2.5300265823163026</v>
      </c>
      <c r="N8" s="206">
        <f>D8*I8/2000*(100%-K8)</f>
        <v>0.6829989072330274</v>
      </c>
      <c r="O8" s="206">
        <f>D8*J8/2000*(100%-K8)</f>
        <v>2.5300265823163026</v>
      </c>
      <c r="P8" s="58"/>
      <c r="Q8" s="58"/>
      <c r="R8" s="58"/>
    </row>
    <row r="9" spans="1:18" ht="12">
      <c r="A9" s="207"/>
      <c r="B9" s="207"/>
      <c r="C9" s="474"/>
      <c r="D9" s="474"/>
      <c r="E9" s="474"/>
      <c r="F9" s="474"/>
      <c r="G9" s="474"/>
      <c r="H9" s="474"/>
      <c r="I9" s="474"/>
      <c r="J9" s="474"/>
      <c r="K9" s="474"/>
      <c r="L9" s="207"/>
      <c r="M9" s="207"/>
      <c r="N9" s="207"/>
      <c r="O9" s="207"/>
      <c r="P9" s="58"/>
      <c r="Q9" s="58"/>
      <c r="R9" s="58"/>
    </row>
    <row r="10" spans="1:18" ht="49.5">
      <c r="A10" s="153"/>
      <c r="B10" s="153"/>
      <c r="C10" s="140" t="s">
        <v>381</v>
      </c>
      <c r="D10" s="167" t="s">
        <v>395</v>
      </c>
      <c r="E10" s="167" t="s">
        <v>383</v>
      </c>
      <c r="F10" s="167" t="s">
        <v>216</v>
      </c>
      <c r="G10" s="208" t="s">
        <v>233</v>
      </c>
      <c r="H10" s="208" t="s">
        <v>259</v>
      </c>
      <c r="I10" s="167" t="s">
        <v>417</v>
      </c>
      <c r="J10" s="167" t="s">
        <v>418</v>
      </c>
      <c r="K10" s="208" t="s">
        <v>233</v>
      </c>
      <c r="L10" s="167" t="s">
        <v>416</v>
      </c>
      <c r="M10" s="167" t="s">
        <v>388</v>
      </c>
      <c r="N10" s="167" t="s">
        <v>416</v>
      </c>
      <c r="O10" s="167" t="s">
        <v>388</v>
      </c>
      <c r="P10" s="58"/>
      <c r="Q10" s="58"/>
      <c r="R10" s="58"/>
    </row>
    <row r="11" spans="1:18" ht="12">
      <c r="A11" s="198" t="s">
        <v>389</v>
      </c>
      <c r="B11" s="153" t="s">
        <v>396</v>
      </c>
      <c r="C11" s="153" t="s">
        <v>397</v>
      </c>
      <c r="D11" s="158">
        <v>4000</v>
      </c>
      <c r="E11" s="149">
        <v>8.6</v>
      </c>
      <c r="F11" s="149">
        <v>10.4</v>
      </c>
      <c r="G11" s="208" t="s">
        <v>233</v>
      </c>
      <c r="H11" s="208" t="s">
        <v>259</v>
      </c>
      <c r="I11" s="209">
        <f>0.75*18.6*E11^1.5/F11^1.4</f>
        <v>13.257914363289629</v>
      </c>
      <c r="J11" s="209">
        <f>78.4*E11^1.2/F11^1.3</f>
        <v>49.382248784758936</v>
      </c>
      <c r="K11" s="208" t="s">
        <v>233</v>
      </c>
      <c r="L11" s="174">
        <f>D11*I11/2000</f>
        <v>26.515828726579258</v>
      </c>
      <c r="M11" s="174">
        <f>D11*J11/2000</f>
        <v>98.76449756951787</v>
      </c>
      <c r="N11" s="174">
        <f>D11*I11/2000</f>
        <v>26.515828726579258</v>
      </c>
      <c r="O11" s="174">
        <f>D11*J11/2000</f>
        <v>98.76449756951787</v>
      </c>
      <c r="P11" s="58"/>
      <c r="Q11" s="58"/>
      <c r="R11" s="58"/>
    </row>
    <row r="12" spans="1:18" ht="12">
      <c r="A12" s="58"/>
      <c r="B12" s="58"/>
      <c r="C12" s="65"/>
      <c r="D12" s="187"/>
      <c r="E12" s="187"/>
      <c r="F12" s="187"/>
      <c r="G12" s="187"/>
      <c r="H12" s="187"/>
      <c r="I12" s="187"/>
      <c r="J12" s="187"/>
      <c r="K12" s="187"/>
      <c r="L12" s="199">
        <f>SUM(L6:L8,L11:L11)</f>
        <v>28.225883142570506</v>
      </c>
      <c r="M12" s="199">
        <f>SUM(M6:M8,M11:M11)</f>
        <v>105.09903644483282</v>
      </c>
      <c r="N12" s="199">
        <f>SUM(N6:N8,N11:N11)</f>
        <v>28.225883142570506</v>
      </c>
      <c r="O12" s="199">
        <f>SUM(O6:O8,O11:O11)</f>
        <v>105.09903644483282</v>
      </c>
      <c r="P12" s="58"/>
      <c r="Q12" s="58"/>
      <c r="R12" s="58"/>
    </row>
    <row r="13" spans="1:18" ht="12">
      <c r="A13" s="58" t="s">
        <v>364</v>
      </c>
      <c r="B13" s="58"/>
      <c r="C13" s="58"/>
      <c r="D13" s="160"/>
      <c r="E13" s="160"/>
      <c r="F13" s="160"/>
      <c r="G13" s="160"/>
      <c r="H13" s="160"/>
      <c r="I13" s="160"/>
      <c r="J13" s="160"/>
      <c r="K13" s="160"/>
      <c r="L13" s="160"/>
      <c r="M13" s="160"/>
      <c r="N13" s="160"/>
      <c r="O13" s="160"/>
      <c r="P13" s="58"/>
      <c r="Q13" s="58"/>
      <c r="R13" s="58"/>
    </row>
    <row r="14" spans="1:18" ht="12">
      <c r="A14" s="58" t="s">
        <v>398</v>
      </c>
      <c r="B14" s="58"/>
      <c r="C14" s="58"/>
      <c r="D14" s="160"/>
      <c r="E14" s="160"/>
      <c r="F14" s="160"/>
      <c r="G14" s="160"/>
      <c r="H14" s="160"/>
      <c r="I14" s="160"/>
      <c r="J14" s="160"/>
      <c r="K14" s="160"/>
      <c r="L14" s="160"/>
      <c r="M14" s="160"/>
      <c r="N14" s="160"/>
      <c r="O14" s="160"/>
      <c r="P14" s="58"/>
      <c r="Q14" s="58"/>
      <c r="R14" s="58"/>
    </row>
    <row r="15" spans="1:18" ht="12">
      <c r="A15" s="58" t="s">
        <v>399</v>
      </c>
      <c r="B15" s="58"/>
      <c r="C15" s="58"/>
      <c r="D15" s="160"/>
      <c r="E15" s="160"/>
      <c r="F15" s="160"/>
      <c r="G15" s="160"/>
      <c r="H15" s="160"/>
      <c r="I15" s="160"/>
      <c r="J15" s="160"/>
      <c r="K15" s="160"/>
      <c r="L15" s="160"/>
      <c r="M15" s="160"/>
      <c r="N15" s="160"/>
      <c r="O15" s="160"/>
      <c r="P15" s="58"/>
      <c r="Q15" s="58"/>
      <c r="R15" s="58"/>
    </row>
    <row r="16" spans="1:18" ht="12">
      <c r="A16" s="58" t="s">
        <v>400</v>
      </c>
      <c r="B16" s="58"/>
      <c r="C16" s="58"/>
      <c r="D16" s="160"/>
      <c r="E16" s="160"/>
      <c r="F16" s="160"/>
      <c r="G16" s="160"/>
      <c r="H16" s="160"/>
      <c r="I16" s="160"/>
      <c r="J16" s="160"/>
      <c r="K16" s="160"/>
      <c r="L16" s="160"/>
      <c r="M16" s="160"/>
      <c r="N16" s="160"/>
      <c r="O16" s="160"/>
      <c r="P16" s="58"/>
      <c r="Q16" s="58"/>
      <c r="R16" s="58"/>
    </row>
    <row r="17" spans="1:18" ht="12">
      <c r="A17" s="58" t="s">
        <v>401</v>
      </c>
      <c r="B17" s="58"/>
      <c r="C17" s="58"/>
      <c r="D17" s="160"/>
      <c r="E17" s="160"/>
      <c r="F17" s="160"/>
      <c r="G17" s="160"/>
      <c r="H17" s="160"/>
      <c r="I17" s="160"/>
      <c r="J17" s="160"/>
      <c r="K17" s="160"/>
      <c r="L17" s="160"/>
      <c r="M17" s="160"/>
      <c r="N17" s="160"/>
      <c r="O17" s="160"/>
      <c r="P17" s="58"/>
      <c r="Q17" s="58"/>
      <c r="R17" s="58"/>
    </row>
    <row r="18" spans="1:18" ht="12">
      <c r="A18" s="58" t="s">
        <v>402</v>
      </c>
      <c r="B18" s="58"/>
      <c r="C18" s="58"/>
      <c r="D18" s="160"/>
      <c r="E18" s="160"/>
      <c r="F18" s="160"/>
      <c r="G18" s="160"/>
      <c r="H18" s="160"/>
      <c r="I18" s="160"/>
      <c r="J18" s="160"/>
      <c r="K18" s="160"/>
      <c r="L18" s="160"/>
      <c r="M18" s="160"/>
      <c r="N18" s="160"/>
      <c r="O18" s="160"/>
      <c r="P18" s="58"/>
      <c r="Q18" s="58"/>
      <c r="R18" s="58"/>
    </row>
    <row r="19" spans="1:18" ht="12">
      <c r="A19" s="58" t="s">
        <v>403</v>
      </c>
      <c r="B19" s="58"/>
      <c r="C19" s="58"/>
      <c r="D19" s="160"/>
      <c r="E19" s="160"/>
      <c r="F19" s="160"/>
      <c r="G19" s="160"/>
      <c r="H19" s="160"/>
      <c r="I19" s="160"/>
      <c r="J19" s="160"/>
      <c r="K19" s="160"/>
      <c r="L19" s="160"/>
      <c r="M19" s="160"/>
      <c r="N19" s="160"/>
      <c r="O19" s="160"/>
      <c r="P19" s="58"/>
      <c r="Q19" s="58"/>
      <c r="R19" s="58"/>
    </row>
    <row r="20" spans="1:18" ht="12">
      <c r="A20" s="58" t="s">
        <v>404</v>
      </c>
      <c r="B20" s="58"/>
      <c r="C20" s="58"/>
      <c r="D20" s="160"/>
      <c r="E20" s="160"/>
      <c r="F20" s="160"/>
      <c r="G20" s="160"/>
      <c r="H20" s="160"/>
      <c r="I20" s="160"/>
      <c r="J20" s="160"/>
      <c r="K20" s="160"/>
      <c r="L20" s="160"/>
      <c r="M20" s="160"/>
      <c r="N20" s="160"/>
      <c r="O20" s="160"/>
      <c r="P20" s="58"/>
      <c r="Q20" s="58"/>
      <c r="R20" s="58"/>
    </row>
    <row r="21" spans="1:18" ht="12">
      <c r="A21" s="58" t="s">
        <v>405</v>
      </c>
      <c r="B21" s="58"/>
      <c r="C21" s="161"/>
      <c r="D21" s="58"/>
      <c r="E21" s="58"/>
      <c r="F21" s="58"/>
      <c r="G21" s="160"/>
      <c r="H21" s="160"/>
      <c r="I21" s="58"/>
      <c r="J21" s="58"/>
      <c r="K21" s="58"/>
      <c r="L21" s="58"/>
      <c r="M21" s="58"/>
      <c r="N21" s="58"/>
      <c r="O21" s="58"/>
      <c r="P21" s="58"/>
      <c r="Q21" s="58"/>
      <c r="R21" s="58"/>
    </row>
    <row r="22" spans="1:18" ht="12">
      <c r="A22" s="58" t="s">
        <v>406</v>
      </c>
      <c r="B22" s="58"/>
      <c r="C22" s="58"/>
      <c r="D22" s="160"/>
      <c r="E22" s="160"/>
      <c r="F22" s="160"/>
      <c r="G22" s="160"/>
      <c r="H22" s="160"/>
      <c r="I22" s="160"/>
      <c r="J22" s="160"/>
      <c r="K22" s="160"/>
      <c r="L22" s="160"/>
      <c r="M22" s="160"/>
      <c r="N22" s="160"/>
      <c r="O22" s="160"/>
      <c r="P22" s="58"/>
      <c r="Q22" s="58"/>
      <c r="R22" s="58"/>
    </row>
    <row r="23" spans="1:18" ht="12">
      <c r="A23" s="58" t="s">
        <v>407</v>
      </c>
      <c r="B23" s="58"/>
      <c r="C23" s="58"/>
      <c r="D23" s="160"/>
      <c r="E23" s="160"/>
      <c r="F23" s="160"/>
      <c r="G23" s="160"/>
      <c r="H23" s="160"/>
      <c r="I23" s="160"/>
      <c r="J23" s="160"/>
      <c r="K23" s="160"/>
      <c r="L23" s="160"/>
      <c r="M23" s="160"/>
      <c r="N23" s="160"/>
      <c r="O23" s="160"/>
      <c r="P23" s="58"/>
      <c r="Q23" s="58"/>
      <c r="R23" s="58"/>
    </row>
    <row r="24" spans="1:18" ht="12">
      <c r="A24" s="58" t="s">
        <v>408</v>
      </c>
      <c r="B24" s="58"/>
      <c r="C24" s="58"/>
      <c r="D24" s="160"/>
      <c r="E24" s="160"/>
      <c r="F24" s="160"/>
      <c r="G24" s="160"/>
      <c r="H24" s="160"/>
      <c r="I24" s="160"/>
      <c r="J24" s="160"/>
      <c r="K24" s="160"/>
      <c r="L24" s="160"/>
      <c r="M24" s="160"/>
      <c r="N24" s="160"/>
      <c r="O24" s="160"/>
      <c r="P24" s="58"/>
      <c r="Q24" s="58"/>
      <c r="R24" s="58"/>
    </row>
    <row r="25" spans="1:18" ht="12">
      <c r="A25" s="58" t="s">
        <v>409</v>
      </c>
      <c r="B25" s="58"/>
      <c r="C25" s="58"/>
      <c r="D25" s="160"/>
      <c r="E25" s="160"/>
      <c r="F25" s="160"/>
      <c r="G25" s="160"/>
      <c r="H25" s="160"/>
      <c r="I25" s="160"/>
      <c r="J25" s="160"/>
      <c r="K25" s="160"/>
      <c r="L25" s="160"/>
      <c r="M25" s="160"/>
      <c r="N25" s="160"/>
      <c r="O25" s="160"/>
      <c r="P25" s="58"/>
      <c r="Q25" s="58"/>
      <c r="R25" s="58"/>
    </row>
    <row r="26" spans="1:18" ht="12">
      <c r="A26" s="58" t="s">
        <v>410</v>
      </c>
      <c r="B26" s="58"/>
      <c r="C26" s="58"/>
      <c r="D26" s="160"/>
      <c r="E26" s="160"/>
      <c r="F26" s="160"/>
      <c r="G26" s="160"/>
      <c r="H26" s="160"/>
      <c r="I26" s="160"/>
      <c r="J26" s="160"/>
      <c r="K26" s="160"/>
      <c r="L26" s="160"/>
      <c r="M26" s="160"/>
      <c r="N26" s="160"/>
      <c r="O26" s="160"/>
      <c r="P26" s="58"/>
      <c r="Q26" s="58"/>
      <c r="R26" s="58"/>
    </row>
    <row r="27" spans="1:18" ht="12">
      <c r="A27" s="58" t="s">
        <v>411</v>
      </c>
      <c r="B27" s="58"/>
      <c r="C27" s="58"/>
      <c r="D27" s="160"/>
      <c r="E27" s="160"/>
      <c r="F27" s="160"/>
      <c r="G27" s="160"/>
      <c r="H27" s="160"/>
      <c r="I27" s="160"/>
      <c r="J27" s="160"/>
      <c r="K27" s="160"/>
      <c r="L27" s="160"/>
      <c r="M27" s="160"/>
      <c r="N27" s="160"/>
      <c r="O27" s="160"/>
      <c r="P27" s="58"/>
      <c r="Q27" s="58"/>
      <c r="R27" s="58"/>
    </row>
    <row r="28" spans="1:18" ht="12">
      <c r="A28" s="58" t="s">
        <v>412</v>
      </c>
      <c r="B28" s="58"/>
      <c r="C28" s="58"/>
      <c r="D28" s="160"/>
      <c r="E28" s="160"/>
      <c r="F28" s="160"/>
      <c r="G28" s="160"/>
      <c r="H28" s="160"/>
      <c r="I28" s="160"/>
      <c r="J28" s="160"/>
      <c r="K28" s="160"/>
      <c r="L28" s="160"/>
      <c r="M28" s="160"/>
      <c r="N28" s="160"/>
      <c r="O28" s="160"/>
      <c r="P28" s="58"/>
      <c r="Q28" s="58"/>
      <c r="R28" s="58"/>
    </row>
    <row r="29" spans="1:18" ht="12">
      <c r="A29" s="58"/>
      <c r="B29" s="58"/>
      <c r="C29" s="58"/>
      <c r="D29" s="160"/>
      <c r="E29" s="160"/>
      <c r="F29" s="160"/>
      <c r="G29" s="160"/>
      <c r="H29" s="160"/>
      <c r="I29" s="160"/>
      <c r="J29" s="160"/>
      <c r="K29" s="160"/>
      <c r="L29" s="160"/>
      <c r="M29" s="160"/>
      <c r="N29" s="160"/>
      <c r="O29" s="160"/>
      <c r="P29" s="58"/>
      <c r="Q29" s="58"/>
      <c r="R29" s="58"/>
    </row>
    <row r="30" spans="1:18" ht="12">
      <c r="A30" s="58"/>
      <c r="B30" s="58"/>
      <c r="C30" s="58"/>
      <c r="D30" s="160"/>
      <c r="E30" s="160"/>
      <c r="F30" s="160"/>
      <c r="G30" s="160"/>
      <c r="H30" s="160"/>
      <c r="I30" s="160"/>
      <c r="J30" s="160"/>
      <c r="K30" s="160"/>
      <c r="L30" s="160"/>
      <c r="M30" s="160"/>
      <c r="N30" s="160"/>
      <c r="O30" s="160"/>
      <c r="P30" s="58"/>
      <c r="Q30" s="58"/>
      <c r="R30" s="58"/>
    </row>
    <row r="31" spans="1:18" ht="12">
      <c r="A31" s="58"/>
      <c r="B31" s="58"/>
      <c r="C31" s="58"/>
      <c r="D31" s="160"/>
      <c r="E31" s="160"/>
      <c r="F31" s="160"/>
      <c r="G31" s="160"/>
      <c r="H31" s="160"/>
      <c r="I31" s="160"/>
      <c r="J31" s="160"/>
      <c r="K31" s="160"/>
      <c r="L31" s="160"/>
      <c r="M31" s="160"/>
      <c r="N31" s="160"/>
      <c r="O31" s="160"/>
      <c r="P31" s="58"/>
      <c r="Q31" s="58"/>
      <c r="R31" s="58"/>
    </row>
    <row r="32" spans="1:18" ht="12">
      <c r="A32" s="58"/>
      <c r="B32" s="58"/>
      <c r="C32" s="58"/>
      <c r="D32" s="160"/>
      <c r="E32" s="160"/>
      <c r="F32" s="160"/>
      <c r="G32" s="160"/>
      <c r="H32" s="160"/>
      <c r="I32" s="160"/>
      <c r="J32" s="160"/>
      <c r="K32" s="160"/>
      <c r="L32" s="160"/>
      <c r="M32" s="160"/>
      <c r="N32" s="160"/>
      <c r="O32" s="160"/>
      <c r="P32" s="58"/>
      <c r="Q32" s="58"/>
      <c r="R32" s="58"/>
    </row>
    <row r="33" spans="4:15" ht="12">
      <c r="D33" s="95"/>
      <c r="E33" s="95"/>
      <c r="F33" s="95"/>
      <c r="G33" s="95"/>
      <c r="H33" s="95"/>
      <c r="I33" s="95"/>
      <c r="J33" s="95"/>
      <c r="K33" s="95"/>
      <c r="L33" s="95"/>
      <c r="M33" s="95"/>
      <c r="N33" s="95"/>
      <c r="O33" s="95"/>
    </row>
    <row r="34" spans="4:15" ht="12">
      <c r="D34" s="95"/>
      <c r="E34" s="95"/>
      <c r="F34" s="95"/>
      <c r="G34" s="95"/>
      <c r="H34" s="95"/>
      <c r="I34" s="95"/>
      <c r="J34" s="95"/>
      <c r="K34" s="95"/>
      <c r="L34" s="95"/>
      <c r="M34" s="95"/>
      <c r="N34" s="95"/>
      <c r="O34" s="95"/>
    </row>
  </sheetData>
  <sheetProtection/>
  <mergeCells count="4">
    <mergeCell ref="A4:K4"/>
    <mergeCell ref="L4:M4"/>
    <mergeCell ref="N4:O4"/>
    <mergeCell ref="C9:K9"/>
  </mergeCells>
  <printOptions/>
  <pageMargins left="0.75" right="0.75" top="1" bottom="1" header="0.5" footer="0.5"/>
  <pageSetup fitToHeight="1" fitToWidth="1" horizontalDpi="600" verticalDpi="600" orientation="landscape" scale="91"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G13"/>
  <sheetViews>
    <sheetView zoomScalePageLayoutView="0" workbookViewId="0" topLeftCell="A1">
      <selection activeCell="A1" sqref="A1"/>
    </sheetView>
  </sheetViews>
  <sheetFormatPr defaultColWidth="9.140625" defaultRowHeight="12"/>
  <cols>
    <col min="1" max="1" width="13.421875" style="0" customWidth="1"/>
    <col min="3" max="3" width="16.140625" style="0" customWidth="1"/>
    <col min="4" max="4" width="16.28125" style="0" customWidth="1"/>
    <col min="5" max="5" width="13.00390625" style="0" customWidth="1"/>
    <col min="6" max="6" width="16.00390625" style="0" customWidth="1"/>
  </cols>
  <sheetData>
    <row r="1" spans="1:5" ht="12">
      <c r="A1" s="35" t="s">
        <v>453</v>
      </c>
      <c r="B1" s="9"/>
      <c r="C1" s="6"/>
      <c r="D1" s="95"/>
      <c r="E1" s="95"/>
    </row>
    <row r="2" spans="1:5" ht="13.5">
      <c r="A2" s="59" t="s">
        <v>420</v>
      </c>
      <c r="B2" s="59"/>
      <c r="C2" s="195"/>
      <c r="D2" s="95"/>
      <c r="E2" s="95"/>
    </row>
    <row r="3" spans="1:5" ht="13.5">
      <c r="A3" s="196" t="s">
        <v>37</v>
      </c>
      <c r="B3" s="196"/>
      <c r="C3" s="197"/>
      <c r="D3" s="95"/>
      <c r="E3" s="95"/>
    </row>
    <row r="4" spans="1:7" ht="84">
      <c r="A4" s="190" t="s">
        <v>372</v>
      </c>
      <c r="B4" s="191" t="s">
        <v>421</v>
      </c>
      <c r="C4" s="191" t="s">
        <v>422</v>
      </c>
      <c r="D4" s="191" t="s">
        <v>423</v>
      </c>
      <c r="E4" s="191" t="s">
        <v>424</v>
      </c>
      <c r="F4" s="191" t="s">
        <v>425</v>
      </c>
      <c r="G4" s="191" t="s">
        <v>426</v>
      </c>
    </row>
    <row r="5" spans="1:7" ht="13.5">
      <c r="A5" s="58" t="s">
        <v>373</v>
      </c>
      <c r="B5" s="192">
        <f>('Hauling Baseline'!L12+'Hauling Baseline'!N12)/2</f>
        <v>28.225883142570506</v>
      </c>
      <c r="C5" s="192" t="e">
        <f>(#REF!+#REF!)/2</f>
        <v>#REF!</v>
      </c>
      <c r="D5" s="192">
        <f>B5*('Boilers Actual to Actual'!E7/'Boilers Actual to Actual'!C7)</f>
        <v>30.08232029219918</v>
      </c>
      <c r="E5" s="192">
        <f>D5-B5</f>
        <v>1.8564371496286753</v>
      </c>
      <c r="F5" s="192" t="e">
        <f>C5-E5</f>
        <v>#REF!</v>
      </c>
      <c r="G5" s="192" t="e">
        <f>C5-B5-E5</f>
        <v>#REF!</v>
      </c>
    </row>
    <row r="6" spans="1:7" ht="12">
      <c r="A6" s="58" t="s">
        <v>8</v>
      </c>
      <c r="B6" s="192">
        <f>('Hauling Baseline'!M12+'Hauling Baseline'!O12)/2</f>
        <v>105.09903644483282</v>
      </c>
      <c r="C6" s="192" t="e">
        <f>(#REF!+#REF!)/2</f>
        <v>#REF!</v>
      </c>
      <c r="D6" s="192">
        <f>B6*('Boilers Actual to Actual'!E5/'Boilers Actual to Actual'!C5)</f>
        <v>111.77459726227319</v>
      </c>
      <c r="E6" s="192">
        <f>D6-B6</f>
        <v>6.67556081744037</v>
      </c>
      <c r="F6" s="192" t="e">
        <f>C6-E6</f>
        <v>#REF!</v>
      </c>
      <c r="G6" s="192" t="e">
        <f>C6-B6-E6</f>
        <v>#REF!</v>
      </c>
    </row>
    <row r="7" spans="1:7" ht="12">
      <c r="A7" s="58"/>
      <c r="B7" s="193"/>
      <c r="C7" s="193"/>
      <c r="D7" s="194"/>
      <c r="E7" s="194"/>
      <c r="F7" s="193"/>
      <c r="G7" s="193"/>
    </row>
    <row r="8" ht="12">
      <c r="A8" s="50" t="s">
        <v>442</v>
      </c>
    </row>
    <row r="9" ht="12">
      <c r="A9" s="50" t="s">
        <v>443</v>
      </c>
    </row>
    <row r="10" ht="12">
      <c r="A10" s="54" t="s">
        <v>377</v>
      </c>
    </row>
    <row r="11" ht="12">
      <c r="A11" s="54" t="s">
        <v>378</v>
      </c>
    </row>
    <row r="12" ht="12">
      <c r="A12" s="54" t="s">
        <v>158</v>
      </c>
    </row>
    <row r="13" ht="12">
      <c r="A13" s="54" t="s">
        <v>379</v>
      </c>
    </row>
  </sheetData>
  <sheetProtection/>
  <printOptions/>
  <pageMargins left="0.75" right="0.75" top="1" bottom="1" header="0.5" footer="0.5"/>
  <pageSetup fitToHeight="1" fitToWidth="1" horizontalDpi="600" verticalDpi="600" orientation="landscape" scale="97"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5:H64"/>
  <sheetViews>
    <sheetView zoomScalePageLayoutView="0" workbookViewId="0" topLeftCell="A5">
      <pane xSplit="1" ySplit="7" topLeftCell="F12" activePane="bottomRight" state="frozen"/>
      <selection pane="topLeft" activeCell="B1" sqref="A1:IV1"/>
      <selection pane="topRight" activeCell="B1" sqref="A1:IV1"/>
      <selection pane="bottomLeft" activeCell="B1" sqref="A1:IV1"/>
      <selection pane="bottomRight" activeCell="F8" sqref="F8:G8"/>
    </sheetView>
  </sheetViews>
  <sheetFormatPr defaultColWidth="9.140625" defaultRowHeight="12"/>
  <cols>
    <col min="1" max="1" width="32.57421875" style="2" customWidth="1"/>
    <col min="2" max="7" width="13.7109375" style="2" customWidth="1"/>
    <col min="8" max="8" width="100.00390625" style="18" customWidth="1"/>
    <col min="9" max="16384" width="9.140625" style="2" customWidth="1"/>
  </cols>
  <sheetData>
    <row r="5" spans="1:2" ht="12">
      <c r="A5" s="35" t="s">
        <v>445</v>
      </c>
      <c r="B5" s="17"/>
    </row>
    <row r="6" spans="1:2" ht="12.75">
      <c r="A6" s="10" t="s">
        <v>276</v>
      </c>
      <c r="B6" s="19"/>
    </row>
    <row r="7" spans="1:8" ht="12.75">
      <c r="A7" s="36" t="s">
        <v>37</v>
      </c>
      <c r="B7" s="34"/>
      <c r="C7" s="8"/>
      <c r="D7" s="8"/>
      <c r="E7" s="8"/>
      <c r="F7" s="8"/>
      <c r="G7" s="8"/>
      <c r="H7" s="22"/>
    </row>
    <row r="8" spans="1:8" ht="12.75" customHeight="1">
      <c r="A8" s="102"/>
      <c r="B8" s="344" t="s">
        <v>30</v>
      </c>
      <c r="C8" s="344"/>
      <c r="D8" s="344" t="s">
        <v>33</v>
      </c>
      <c r="E8" s="344"/>
      <c r="F8" s="344" t="s">
        <v>110</v>
      </c>
      <c r="G8" s="344"/>
      <c r="H8" s="103" t="s">
        <v>32</v>
      </c>
    </row>
    <row r="9" spans="1:8" ht="12">
      <c r="A9" s="104"/>
      <c r="B9" s="345" t="s">
        <v>17</v>
      </c>
      <c r="C9" s="347" t="s">
        <v>18</v>
      </c>
      <c r="D9" s="345" t="s">
        <v>17</v>
      </c>
      <c r="E9" s="347" t="s">
        <v>18</v>
      </c>
      <c r="F9" s="345" t="s">
        <v>17</v>
      </c>
      <c r="G9" s="347" t="s">
        <v>18</v>
      </c>
      <c r="H9" s="25"/>
    </row>
    <row r="10" spans="1:8" ht="12">
      <c r="A10" s="105"/>
      <c r="B10" s="346"/>
      <c r="C10" s="348"/>
      <c r="D10" s="346"/>
      <c r="E10" s="348"/>
      <c r="F10" s="346"/>
      <c r="G10" s="348"/>
      <c r="H10" s="42"/>
    </row>
    <row r="11" spans="1:8" ht="12">
      <c r="A11" s="106" t="s">
        <v>19</v>
      </c>
      <c r="B11" s="106"/>
      <c r="C11" s="106"/>
      <c r="D11" s="106"/>
      <c r="E11" s="106"/>
      <c r="F11" s="106"/>
      <c r="G11" s="106"/>
      <c r="H11" s="25"/>
    </row>
    <row r="12" spans="1:8" ht="16.5" customHeight="1">
      <c r="A12" s="23" t="s">
        <v>164</v>
      </c>
      <c r="B12" s="24">
        <v>4535</v>
      </c>
      <c r="C12" s="24">
        <v>4390</v>
      </c>
      <c r="D12" s="24">
        <v>4517</v>
      </c>
      <c r="E12" s="24">
        <v>4419</v>
      </c>
      <c r="F12" s="24" t="e">
        <f>#REF!</f>
        <v>#REF!</v>
      </c>
      <c r="G12" s="24" t="e">
        <f>#REF!</f>
        <v>#REF!</v>
      </c>
      <c r="H12" s="29" t="s">
        <v>180</v>
      </c>
    </row>
    <row r="13" spans="1:8" ht="15" customHeight="1">
      <c r="A13" s="23" t="s">
        <v>31</v>
      </c>
      <c r="B13" s="24">
        <f>'Baseline Actual Emissions'!B13</f>
        <v>34140468.9</v>
      </c>
      <c r="C13" s="24">
        <f>'Baseline Actual Emissions'!C13</f>
        <v>30937528.7</v>
      </c>
      <c r="D13" s="24">
        <f>'Baseline Actual Emissions'!D13</f>
        <v>35135615.9</v>
      </c>
      <c r="E13" s="24">
        <f>'Baseline Actual Emissions'!E13</f>
        <v>28768460</v>
      </c>
      <c r="F13" s="24" t="e">
        <f>#REF!</f>
        <v>#REF!</v>
      </c>
      <c r="G13" s="24" t="e">
        <f>#REF!</f>
        <v>#REF!</v>
      </c>
      <c r="H13" s="29" t="s">
        <v>181</v>
      </c>
    </row>
    <row r="14" spans="1:8" ht="15" customHeight="1">
      <c r="A14" s="23" t="s">
        <v>43</v>
      </c>
      <c r="B14" s="24">
        <f>'Baseline Actual Emissions'!B14</f>
        <v>8494</v>
      </c>
      <c r="C14" s="24">
        <f>'Baseline Actual Emissions'!C14</f>
        <v>8603</v>
      </c>
      <c r="D14" s="24">
        <f>'Baseline Actual Emissions'!D14</f>
        <v>8589</v>
      </c>
      <c r="E14" s="24">
        <f>'Baseline Actual Emissions'!E14</f>
        <v>7883</v>
      </c>
      <c r="F14" s="24" t="e">
        <f>#REF!</f>
        <v>#REF!</v>
      </c>
      <c r="G14" s="24" t="e">
        <f>#REF!</f>
        <v>#REF!</v>
      </c>
      <c r="H14" s="29" t="s">
        <v>181</v>
      </c>
    </row>
    <row r="15" spans="1:8" ht="15" customHeight="1">
      <c r="A15" s="23" t="s">
        <v>44</v>
      </c>
      <c r="B15" s="24">
        <f>'Baseline Actual Emissions'!B15</f>
        <v>1620484</v>
      </c>
      <c r="C15" s="24">
        <f>'Baseline Actual Emissions'!C15</f>
        <v>1725470</v>
      </c>
      <c r="D15" s="24">
        <f>'Baseline Actual Emissions'!D15</f>
        <v>1722491</v>
      </c>
      <c r="E15" s="24">
        <f>'Baseline Actual Emissions'!E15</f>
        <v>1551360</v>
      </c>
      <c r="F15" s="24" t="e">
        <f>#REF!</f>
        <v>#REF!</v>
      </c>
      <c r="G15" s="24" t="e">
        <f>#REF!</f>
        <v>#REF!</v>
      </c>
      <c r="H15" s="25" t="s">
        <v>182</v>
      </c>
    </row>
    <row r="16" spans="1:8" ht="15" customHeight="1">
      <c r="A16" s="23" t="s">
        <v>21</v>
      </c>
      <c r="B16" s="26">
        <f>'Baseline Actual Emissions'!B19</f>
        <v>9719</v>
      </c>
      <c r="C16" s="26">
        <f>'Baseline Actual Emissions'!C19</f>
        <v>9197</v>
      </c>
      <c r="D16" s="26">
        <f>'Baseline Actual Emissions'!D19</f>
        <v>9447</v>
      </c>
      <c r="E16" s="26">
        <f>'Baseline Actual Emissions'!E19</f>
        <v>9340</v>
      </c>
      <c r="F16" s="26" t="e">
        <f>#REF!</f>
        <v>#REF!</v>
      </c>
      <c r="G16" s="26" t="e">
        <f>#REF!</f>
        <v>#REF!</v>
      </c>
      <c r="H16" s="25" t="s">
        <v>182</v>
      </c>
    </row>
    <row r="17" spans="1:8" ht="15" customHeight="1">
      <c r="A17" s="107" t="s">
        <v>35</v>
      </c>
      <c r="B17" s="108"/>
      <c r="C17" s="108"/>
      <c r="D17" s="108"/>
      <c r="E17" s="108"/>
      <c r="F17" s="108"/>
      <c r="G17" s="108"/>
      <c r="H17" s="40"/>
    </row>
    <row r="18" spans="1:8" ht="15" customHeight="1">
      <c r="A18" s="43" t="s">
        <v>36</v>
      </c>
      <c r="B18" s="44">
        <v>0.54</v>
      </c>
      <c r="C18" s="44">
        <v>0.54</v>
      </c>
      <c r="D18" s="44">
        <v>0.54</v>
      </c>
      <c r="E18" s="44">
        <v>0.54</v>
      </c>
      <c r="F18" s="44">
        <v>0.54</v>
      </c>
      <c r="G18" s="44">
        <v>0.54</v>
      </c>
      <c r="H18" s="25" t="s">
        <v>183</v>
      </c>
    </row>
    <row r="19" spans="1:8" ht="15" customHeight="1">
      <c r="A19" s="107" t="s">
        <v>9</v>
      </c>
      <c r="B19" s="108"/>
      <c r="C19" s="108"/>
      <c r="D19" s="108"/>
      <c r="E19" s="108"/>
      <c r="F19" s="108"/>
      <c r="G19" s="108"/>
      <c r="H19" s="40"/>
    </row>
    <row r="20" spans="1:8" ht="15" customHeight="1">
      <c r="A20" s="43" t="s">
        <v>10</v>
      </c>
      <c r="B20" s="44">
        <f>'Baseline Actual Emissions'!B82</f>
        <v>87.93</v>
      </c>
      <c r="C20" s="44">
        <f>'Baseline Actual Emissions'!C82</f>
        <v>88.64</v>
      </c>
      <c r="D20" s="44">
        <f>'Baseline Actual Emissions'!D82</f>
        <v>89.22</v>
      </c>
      <c r="E20" s="44">
        <f>'Baseline Actual Emissions'!E82</f>
        <v>81.98</v>
      </c>
      <c r="F20" s="46">
        <v>100</v>
      </c>
      <c r="G20" s="46">
        <v>100</v>
      </c>
      <c r="H20" s="25" t="s">
        <v>185</v>
      </c>
    </row>
    <row r="21" spans="1:8" ht="15" customHeight="1">
      <c r="A21" s="126" t="s">
        <v>135</v>
      </c>
      <c r="B21" s="41"/>
      <c r="C21" s="41"/>
      <c r="D21" s="41"/>
      <c r="E21" s="41"/>
      <c r="F21" s="41"/>
      <c r="G21" s="41"/>
      <c r="H21" s="40"/>
    </row>
    <row r="22" spans="1:8" ht="15" customHeight="1">
      <c r="A22" s="29" t="s">
        <v>279</v>
      </c>
      <c r="B22" s="28">
        <v>0.5</v>
      </c>
      <c r="C22" s="28">
        <v>0.5</v>
      </c>
      <c r="D22" s="28">
        <v>0.5</v>
      </c>
      <c r="E22" s="28">
        <v>0.5</v>
      </c>
      <c r="F22" s="28">
        <v>0.5</v>
      </c>
      <c r="G22" s="28">
        <v>0.5</v>
      </c>
      <c r="H22" s="25" t="s">
        <v>139</v>
      </c>
    </row>
    <row r="23" spans="1:8" ht="15" customHeight="1">
      <c r="A23" s="29" t="s">
        <v>280</v>
      </c>
      <c r="B23" s="47">
        <v>80</v>
      </c>
      <c r="C23" s="47">
        <v>80</v>
      </c>
      <c r="D23" s="47">
        <v>80</v>
      </c>
      <c r="E23" s="47">
        <v>80</v>
      </c>
      <c r="F23" s="47">
        <v>80</v>
      </c>
      <c r="G23" s="47">
        <v>80</v>
      </c>
      <c r="H23" s="25" t="s">
        <v>136</v>
      </c>
    </row>
    <row r="24" spans="1:8" ht="15" customHeight="1">
      <c r="A24" s="29" t="s">
        <v>281</v>
      </c>
      <c r="B24" s="47">
        <v>64</v>
      </c>
      <c r="C24" s="47">
        <v>64</v>
      </c>
      <c r="D24" s="47">
        <v>64</v>
      </c>
      <c r="E24" s="47">
        <v>64</v>
      </c>
      <c r="F24" s="47">
        <v>64</v>
      </c>
      <c r="G24" s="47">
        <v>64</v>
      </c>
      <c r="H24" s="25" t="s">
        <v>137</v>
      </c>
    </row>
    <row r="25" spans="1:8" ht="15" customHeight="1">
      <c r="A25" s="29" t="s">
        <v>282</v>
      </c>
      <c r="B25" s="47">
        <v>32</v>
      </c>
      <c r="C25" s="47">
        <v>32</v>
      </c>
      <c r="D25" s="47">
        <v>32</v>
      </c>
      <c r="E25" s="47">
        <v>32</v>
      </c>
      <c r="F25" s="47">
        <v>32</v>
      </c>
      <c r="G25" s="47">
        <v>32</v>
      </c>
      <c r="H25" s="25" t="s">
        <v>145</v>
      </c>
    </row>
    <row r="26" spans="1:8" ht="15" customHeight="1">
      <c r="A26" s="29" t="s">
        <v>283</v>
      </c>
      <c r="B26" s="47">
        <v>525</v>
      </c>
      <c r="C26" s="47">
        <v>525</v>
      </c>
      <c r="D26" s="47">
        <v>525</v>
      </c>
      <c r="E26" s="47">
        <v>525</v>
      </c>
      <c r="F26" s="47">
        <v>525</v>
      </c>
      <c r="G26" s="47">
        <v>525</v>
      </c>
      <c r="H26" s="25" t="s">
        <v>138</v>
      </c>
    </row>
    <row r="27" spans="1:8" ht="15" customHeight="1">
      <c r="A27" s="29" t="s">
        <v>284</v>
      </c>
      <c r="B27" s="28">
        <v>1</v>
      </c>
      <c r="C27" s="28">
        <v>1</v>
      </c>
      <c r="D27" s="28">
        <v>1</v>
      </c>
      <c r="E27" s="28">
        <v>1</v>
      </c>
      <c r="F27" s="28">
        <v>1</v>
      </c>
      <c r="G27" s="28">
        <v>1</v>
      </c>
      <c r="H27" s="25" t="s">
        <v>140</v>
      </c>
    </row>
    <row r="28" spans="1:8" ht="15" customHeight="1">
      <c r="A28" s="29" t="s">
        <v>285</v>
      </c>
      <c r="B28" s="47">
        <v>10</v>
      </c>
      <c r="C28" s="47">
        <v>10</v>
      </c>
      <c r="D28" s="47">
        <v>10</v>
      </c>
      <c r="E28" s="47">
        <v>10</v>
      </c>
      <c r="F28" s="47">
        <v>10</v>
      </c>
      <c r="G28" s="47">
        <v>10</v>
      </c>
      <c r="H28" s="25" t="s">
        <v>141</v>
      </c>
    </row>
    <row r="29" spans="1:8" ht="15" customHeight="1">
      <c r="A29" s="29" t="s">
        <v>286</v>
      </c>
      <c r="B29" s="47">
        <v>20</v>
      </c>
      <c r="C29" s="47">
        <v>20</v>
      </c>
      <c r="D29" s="47">
        <v>20</v>
      </c>
      <c r="E29" s="47">
        <v>20</v>
      </c>
      <c r="F29" s="47">
        <v>20</v>
      </c>
      <c r="G29" s="47">
        <v>20</v>
      </c>
      <c r="H29" s="25" t="s">
        <v>142</v>
      </c>
    </row>
    <row r="30" spans="1:8" ht="15" customHeight="1">
      <c r="A30" s="29" t="s">
        <v>287</v>
      </c>
      <c r="B30" s="49" t="s">
        <v>124</v>
      </c>
      <c r="C30" s="49" t="s">
        <v>124</v>
      </c>
      <c r="D30" s="49" t="s">
        <v>124</v>
      </c>
      <c r="E30" s="49" t="s">
        <v>124</v>
      </c>
      <c r="F30" s="49" t="s">
        <v>124</v>
      </c>
      <c r="G30" s="28">
        <v>0.5</v>
      </c>
      <c r="H30" s="25" t="s">
        <v>143</v>
      </c>
    </row>
    <row r="31" spans="1:8" ht="15" customHeight="1">
      <c r="A31" s="29" t="s">
        <v>288</v>
      </c>
      <c r="B31" s="47">
        <v>98</v>
      </c>
      <c r="C31" s="47">
        <v>98</v>
      </c>
      <c r="D31" s="47">
        <v>98</v>
      </c>
      <c r="E31" s="47">
        <v>98</v>
      </c>
      <c r="F31" s="47">
        <v>98</v>
      </c>
      <c r="G31" s="47">
        <v>98</v>
      </c>
      <c r="H31" s="25" t="s">
        <v>144</v>
      </c>
    </row>
    <row r="32" spans="1:8" ht="15" customHeight="1">
      <c r="A32" s="122" t="s">
        <v>289</v>
      </c>
      <c r="B32" s="56">
        <v>64.9</v>
      </c>
      <c r="C32" s="56">
        <v>67.2</v>
      </c>
      <c r="D32" s="56">
        <v>50.3</v>
      </c>
      <c r="E32" s="56">
        <v>57</v>
      </c>
      <c r="F32" s="48">
        <v>100</v>
      </c>
      <c r="G32" s="48">
        <v>100</v>
      </c>
      <c r="H32" s="42" t="s">
        <v>163</v>
      </c>
    </row>
    <row r="33" spans="1:8" ht="15" customHeight="1">
      <c r="A33" s="126" t="s">
        <v>126</v>
      </c>
      <c r="B33" s="41"/>
      <c r="C33" s="41"/>
      <c r="D33" s="41"/>
      <c r="E33" s="41"/>
      <c r="F33" s="41"/>
      <c r="G33" s="41"/>
      <c r="H33" s="42"/>
    </row>
    <row r="34" spans="1:8" ht="15" customHeight="1">
      <c r="A34" s="29" t="s">
        <v>113</v>
      </c>
      <c r="B34" s="28">
        <f aca="true" t="shared" si="0" ref="B34:G34">((B18/100)*(B24/B25)*1000000)/B16</f>
        <v>1.1112254347155057</v>
      </c>
      <c r="C34" s="28">
        <f t="shared" si="0"/>
        <v>1.1742959660758943</v>
      </c>
      <c r="D34" s="28">
        <f t="shared" si="0"/>
        <v>1.1432200698634487</v>
      </c>
      <c r="E34" s="28">
        <f t="shared" si="0"/>
        <v>1.1563169164882228</v>
      </c>
      <c r="F34" s="28" t="e">
        <f t="shared" si="0"/>
        <v>#REF!</v>
      </c>
      <c r="G34" s="28" t="e">
        <f t="shared" si="0"/>
        <v>#REF!</v>
      </c>
      <c r="H34" s="25" t="s">
        <v>290</v>
      </c>
    </row>
    <row r="35" spans="1:8" ht="15" customHeight="1">
      <c r="A35" s="29" t="s">
        <v>112</v>
      </c>
      <c r="B35" s="28">
        <f aca="true" t="shared" si="1" ref="B35:G35">B12*B34*(B22/100)*(B23/B24)</f>
        <v>31.49629591521762</v>
      </c>
      <c r="C35" s="28">
        <f t="shared" si="1"/>
        <v>32.219745569207355</v>
      </c>
      <c r="D35" s="28">
        <f t="shared" si="1"/>
        <v>32.274531597332484</v>
      </c>
      <c r="E35" s="28">
        <f t="shared" si="1"/>
        <v>31.936027837259108</v>
      </c>
      <c r="F35" s="28" t="e">
        <f t="shared" si="1"/>
        <v>#REF!</v>
      </c>
      <c r="G35" s="28" t="e">
        <f t="shared" si="1"/>
        <v>#REF!</v>
      </c>
      <c r="H35" s="25" t="s">
        <v>291</v>
      </c>
    </row>
    <row r="36" spans="1:8" ht="15" customHeight="1">
      <c r="A36" s="29" t="s">
        <v>111</v>
      </c>
      <c r="B36" s="28">
        <f aca="true" t="shared" si="2" ref="B36:G36">B34*(B22/100)*B26</f>
        <v>2.916966766128202</v>
      </c>
      <c r="C36" s="28">
        <f t="shared" si="2"/>
        <v>3.0825269109492224</v>
      </c>
      <c r="D36" s="28">
        <f t="shared" si="2"/>
        <v>3.000952683391553</v>
      </c>
      <c r="E36" s="28">
        <f t="shared" si="2"/>
        <v>3.0353319057815846</v>
      </c>
      <c r="F36" s="28" t="e">
        <f t="shared" si="2"/>
        <v>#REF!</v>
      </c>
      <c r="G36" s="28" t="e">
        <f t="shared" si="2"/>
        <v>#REF!</v>
      </c>
      <c r="H36" s="25" t="s">
        <v>292</v>
      </c>
    </row>
    <row r="37" spans="1:8" ht="15" customHeight="1">
      <c r="A37" s="29" t="s">
        <v>133</v>
      </c>
      <c r="B37" s="28">
        <f aca="true" t="shared" si="3" ref="B37:G37">(B38/B36)*B35</f>
        <v>20.698676867598568</v>
      </c>
      <c r="C37" s="28">
        <f t="shared" si="3"/>
        <v>21.7673646168264</v>
      </c>
      <c r="D37" s="28">
        <f t="shared" si="3"/>
        <v>21.51976969257058</v>
      </c>
      <c r="E37" s="28">
        <f t="shared" si="3"/>
        <v>21.41459926583053</v>
      </c>
      <c r="F37" s="28" t="e">
        <f t="shared" si="3"/>
        <v>#REF!</v>
      </c>
      <c r="G37" s="28" t="e">
        <f t="shared" si="3"/>
        <v>#REF!</v>
      </c>
      <c r="H37" s="25" t="s">
        <v>146</v>
      </c>
    </row>
    <row r="38" spans="1:8" ht="15" customHeight="1">
      <c r="A38" s="29" t="s">
        <v>134</v>
      </c>
      <c r="B38" s="28">
        <f aca="true" t="shared" si="4" ref="B38:G38">B36-B27</f>
        <v>1.9169667661282022</v>
      </c>
      <c r="C38" s="28">
        <f t="shared" si="4"/>
        <v>2.0825269109492224</v>
      </c>
      <c r="D38" s="28">
        <f t="shared" si="4"/>
        <v>2.000952683391553</v>
      </c>
      <c r="E38" s="28">
        <f t="shared" si="4"/>
        <v>2.0353319057815846</v>
      </c>
      <c r="F38" s="28" t="e">
        <f t="shared" si="4"/>
        <v>#REF!</v>
      </c>
      <c r="G38" s="28" t="e">
        <f t="shared" si="4"/>
        <v>#REF!</v>
      </c>
      <c r="H38" s="25" t="s">
        <v>293</v>
      </c>
    </row>
    <row r="39" spans="1:8" ht="15" customHeight="1">
      <c r="A39" s="29" t="s">
        <v>118</v>
      </c>
      <c r="B39" s="28">
        <f aca="true" t="shared" si="5" ref="B39:G39">B37*(1-(B28/100))</f>
        <v>18.62880918083871</v>
      </c>
      <c r="C39" s="28">
        <f t="shared" si="5"/>
        <v>19.590628155143758</v>
      </c>
      <c r="D39" s="28">
        <f t="shared" si="5"/>
        <v>19.367792723313524</v>
      </c>
      <c r="E39" s="28">
        <f t="shared" si="5"/>
        <v>19.27313933924748</v>
      </c>
      <c r="F39" s="28" t="e">
        <f t="shared" si="5"/>
        <v>#REF!</v>
      </c>
      <c r="G39" s="28" t="e">
        <f t="shared" si="5"/>
        <v>#REF!</v>
      </c>
      <c r="H39" s="25" t="s">
        <v>294</v>
      </c>
    </row>
    <row r="40" spans="1:8" ht="15" customHeight="1">
      <c r="A40" s="29" t="s">
        <v>119</v>
      </c>
      <c r="B40" s="28">
        <f aca="true" t="shared" si="6" ref="B40:G40">B38*(1-(B28/100))</f>
        <v>1.725270089515382</v>
      </c>
      <c r="C40" s="28">
        <f t="shared" si="6"/>
        <v>1.8742742198543</v>
      </c>
      <c r="D40" s="28">
        <f t="shared" si="6"/>
        <v>1.8008574150523977</v>
      </c>
      <c r="E40" s="28">
        <f t="shared" si="6"/>
        <v>1.8317987152034263</v>
      </c>
      <c r="F40" s="28" t="e">
        <f t="shared" si="6"/>
        <v>#REF!</v>
      </c>
      <c r="G40" s="28" t="e">
        <f t="shared" si="6"/>
        <v>#REF!</v>
      </c>
      <c r="H40" s="25" t="s">
        <v>295</v>
      </c>
    </row>
    <row r="41" spans="1:8" ht="15" customHeight="1">
      <c r="A41" s="29" t="s">
        <v>120</v>
      </c>
      <c r="B41" s="28">
        <f aca="true" t="shared" si="7" ref="B41:E42">B39</f>
        <v>18.62880918083871</v>
      </c>
      <c r="C41" s="28">
        <f t="shared" si="7"/>
        <v>19.590628155143758</v>
      </c>
      <c r="D41" s="28">
        <f t="shared" si="7"/>
        <v>19.367792723313524</v>
      </c>
      <c r="E41" s="28">
        <f t="shared" si="7"/>
        <v>19.27313933924748</v>
      </c>
      <c r="F41" s="28" t="e">
        <f>F39</f>
        <v>#REF!</v>
      </c>
      <c r="G41" s="28" t="e">
        <f>G39</f>
        <v>#REF!</v>
      </c>
      <c r="H41" s="25" t="s">
        <v>118</v>
      </c>
    </row>
    <row r="42" spans="1:8" ht="15" customHeight="1">
      <c r="A42" s="29" t="s">
        <v>121</v>
      </c>
      <c r="B42" s="28">
        <f t="shared" si="7"/>
        <v>1.725270089515382</v>
      </c>
      <c r="C42" s="28">
        <f t="shared" si="7"/>
        <v>1.8742742198543</v>
      </c>
      <c r="D42" s="28">
        <f t="shared" si="7"/>
        <v>1.8008574150523977</v>
      </c>
      <c r="E42" s="28">
        <f t="shared" si="7"/>
        <v>1.8317987152034263</v>
      </c>
      <c r="F42" s="28" t="e">
        <f>F40</f>
        <v>#REF!</v>
      </c>
      <c r="G42" s="28" t="e">
        <f>G40</f>
        <v>#REF!</v>
      </c>
      <c r="H42" s="25" t="s">
        <v>119</v>
      </c>
    </row>
    <row r="43" spans="1:8" ht="15" customHeight="1">
      <c r="A43" s="29" t="s">
        <v>122</v>
      </c>
      <c r="B43" s="28">
        <f aca="true" t="shared" si="8" ref="B43:G43">((1-(B32/100))*B41)+((B32/100)*B41*(1-(B29/100)))</f>
        <v>16.210789749165848</v>
      </c>
      <c r="C43" s="28">
        <f t="shared" si="8"/>
        <v>16.957647731092436</v>
      </c>
      <c r="D43" s="28">
        <f t="shared" si="8"/>
        <v>17.419392775348186</v>
      </c>
      <c r="E43" s="28">
        <f t="shared" si="8"/>
        <v>17.076001454573266</v>
      </c>
      <c r="F43" s="28" t="e">
        <f t="shared" si="8"/>
        <v>#REF!</v>
      </c>
      <c r="G43" s="28" t="e">
        <f t="shared" si="8"/>
        <v>#REF!</v>
      </c>
      <c r="H43" s="25" t="s">
        <v>296</v>
      </c>
    </row>
    <row r="44" spans="1:8" ht="15" customHeight="1">
      <c r="A44" s="29" t="s">
        <v>123</v>
      </c>
      <c r="B44" s="28">
        <f aca="true" t="shared" si="9" ref="B44:G44">((1-(B32/100))*B42)+((B32/100)*B42*(1-(B29/100)))</f>
        <v>1.5013300318962854</v>
      </c>
      <c r="C44" s="28">
        <f t="shared" si="9"/>
        <v>1.6223717647058822</v>
      </c>
      <c r="D44" s="28">
        <f t="shared" si="9"/>
        <v>1.6196911590981267</v>
      </c>
      <c r="E44" s="28">
        <f t="shared" si="9"/>
        <v>1.6229736616702357</v>
      </c>
      <c r="F44" s="28" t="e">
        <f t="shared" si="9"/>
        <v>#REF!</v>
      </c>
      <c r="G44" s="28" t="e">
        <f t="shared" si="9"/>
        <v>#REF!</v>
      </c>
      <c r="H44" s="25" t="s">
        <v>297</v>
      </c>
    </row>
    <row r="45" spans="1:8" ht="15" customHeight="1">
      <c r="A45" s="29" t="s">
        <v>128</v>
      </c>
      <c r="B45" s="28">
        <f aca="true" t="shared" si="10" ref="B45:G45">B43*(B31/B23)*B14*(B20/100)*(1/2000)</f>
        <v>74.15827104711906</v>
      </c>
      <c r="C45" s="28">
        <f t="shared" si="10"/>
        <v>79.20477645133496</v>
      </c>
      <c r="D45" s="28">
        <f t="shared" si="10"/>
        <v>81.76057300816488</v>
      </c>
      <c r="E45" s="28">
        <f t="shared" si="10"/>
        <v>67.5914427623653</v>
      </c>
      <c r="F45" s="28" t="e">
        <f t="shared" si="10"/>
        <v>#REF!</v>
      </c>
      <c r="G45" s="28" t="e">
        <f t="shared" si="10"/>
        <v>#REF!</v>
      </c>
      <c r="H45" s="25" t="s">
        <v>298</v>
      </c>
    </row>
    <row r="46" spans="1:8" ht="15" customHeight="1">
      <c r="A46" s="29" t="s">
        <v>127</v>
      </c>
      <c r="B46" s="28">
        <f>B47*B12</f>
        <v>19.858217442728165</v>
      </c>
      <c r="C46" s="28">
        <f>C47*C12</f>
        <v>20.773118470588237</v>
      </c>
      <c r="D46" s="28">
        <f>D47*D12</f>
        <v>21.338756149801533</v>
      </c>
      <c r="E46" s="28">
        <f>E47*E12</f>
        <v>20.91810178185225</v>
      </c>
      <c r="F46" s="28" t="e">
        <f>(F45*2000)/F14</f>
        <v>#REF!</v>
      </c>
      <c r="G46" s="28" t="e">
        <f>(G45*2000)/G14</f>
        <v>#REF!</v>
      </c>
      <c r="H46" s="25" t="s">
        <v>147</v>
      </c>
    </row>
    <row r="47" spans="1:8" ht="15" customHeight="1">
      <c r="A47" s="122" t="s">
        <v>129</v>
      </c>
      <c r="B47" s="55">
        <f aca="true" t="shared" si="11" ref="B47:G47">(B43*(B31/B23))/B12</f>
        <v>0.004378879259697501</v>
      </c>
      <c r="C47" s="55">
        <f t="shared" si="11"/>
        <v>0.004731917647058824</v>
      </c>
      <c r="D47" s="55">
        <f t="shared" si="11"/>
        <v>0.0047240992140362035</v>
      </c>
      <c r="E47" s="55">
        <f t="shared" si="11"/>
        <v>0.004733673179871521</v>
      </c>
      <c r="F47" s="55" t="e">
        <f t="shared" si="11"/>
        <v>#REF!</v>
      </c>
      <c r="G47" s="55" t="e">
        <f t="shared" si="11"/>
        <v>#REF!</v>
      </c>
      <c r="H47" s="42" t="s">
        <v>299</v>
      </c>
    </row>
    <row r="48" spans="1:8" ht="15" customHeight="1">
      <c r="A48" s="111" t="s">
        <v>125</v>
      </c>
      <c r="B48" s="112"/>
      <c r="C48" s="112"/>
      <c r="D48" s="112"/>
      <c r="E48" s="112"/>
      <c r="F48" s="112"/>
      <c r="G48" s="112"/>
      <c r="H48" s="107"/>
    </row>
    <row r="49" spans="1:8" s="32" customFormat="1" ht="15" customHeight="1">
      <c r="A49" s="29" t="s">
        <v>113</v>
      </c>
      <c r="B49" s="127" t="s">
        <v>124</v>
      </c>
      <c r="C49" s="127" t="s">
        <v>124</v>
      </c>
      <c r="D49" s="127" t="s">
        <v>124</v>
      </c>
      <c r="E49" s="127" t="s">
        <v>124</v>
      </c>
      <c r="F49" s="127" t="s">
        <v>124</v>
      </c>
      <c r="G49" s="118" t="e">
        <f>(G18*2*10000)/G16</f>
        <v>#REF!</v>
      </c>
      <c r="H49" s="25" t="s">
        <v>290</v>
      </c>
    </row>
    <row r="50" spans="1:8" s="32" customFormat="1" ht="15" customHeight="1">
      <c r="A50" s="29" t="s">
        <v>112</v>
      </c>
      <c r="B50" s="127" t="s">
        <v>124</v>
      </c>
      <c r="C50" s="127" t="s">
        <v>124</v>
      </c>
      <c r="D50" s="127" t="s">
        <v>124</v>
      </c>
      <c r="E50" s="127" t="s">
        <v>124</v>
      </c>
      <c r="F50" s="127" t="s">
        <v>124</v>
      </c>
      <c r="G50" s="118" t="e">
        <f>G12*G34*(G22/100)*(G23/G24)</f>
        <v>#REF!</v>
      </c>
      <c r="H50" s="25" t="s">
        <v>291</v>
      </c>
    </row>
    <row r="51" spans="1:8" s="32" customFormat="1" ht="15" customHeight="1">
      <c r="A51" s="29" t="s">
        <v>111</v>
      </c>
      <c r="B51" s="127" t="s">
        <v>124</v>
      </c>
      <c r="C51" s="127" t="s">
        <v>124</v>
      </c>
      <c r="D51" s="127" t="s">
        <v>124</v>
      </c>
      <c r="E51" s="127" t="s">
        <v>124</v>
      </c>
      <c r="F51" s="127" t="s">
        <v>124</v>
      </c>
      <c r="G51" s="120" t="e">
        <f>G34*(G22/100)*G26</f>
        <v>#REF!</v>
      </c>
      <c r="H51" s="25" t="s">
        <v>292</v>
      </c>
    </row>
    <row r="52" spans="1:8" s="32" customFormat="1" ht="15" customHeight="1">
      <c r="A52" s="29" t="s">
        <v>114</v>
      </c>
      <c r="B52" s="127" t="s">
        <v>124</v>
      </c>
      <c r="C52" s="127" t="s">
        <v>124</v>
      </c>
      <c r="D52" s="127" t="s">
        <v>124</v>
      </c>
      <c r="E52" s="127" t="s">
        <v>124</v>
      </c>
      <c r="F52" s="127" t="s">
        <v>124</v>
      </c>
      <c r="G52" s="118" t="e">
        <f>(G53/G51)*G50</f>
        <v>#REF!</v>
      </c>
      <c r="H52" s="25" t="s">
        <v>148</v>
      </c>
    </row>
    <row r="53" spans="1:8" s="32" customFormat="1" ht="15" customHeight="1">
      <c r="A53" s="29" t="s">
        <v>115</v>
      </c>
      <c r="B53" s="127" t="s">
        <v>124</v>
      </c>
      <c r="C53" s="127" t="s">
        <v>124</v>
      </c>
      <c r="D53" s="127" t="s">
        <v>124</v>
      </c>
      <c r="E53" s="127" t="s">
        <v>124</v>
      </c>
      <c r="F53" s="127" t="s">
        <v>124</v>
      </c>
      <c r="G53" s="118" t="e">
        <f>G51-G27</f>
        <v>#REF!</v>
      </c>
      <c r="H53" s="25" t="s">
        <v>293</v>
      </c>
    </row>
    <row r="54" spans="1:8" s="32" customFormat="1" ht="15" customHeight="1">
      <c r="A54" s="29" t="s">
        <v>116</v>
      </c>
      <c r="B54" s="127" t="s">
        <v>124</v>
      </c>
      <c r="C54" s="127" t="s">
        <v>124</v>
      </c>
      <c r="D54" s="127" t="s">
        <v>124</v>
      </c>
      <c r="E54" s="127" t="s">
        <v>124</v>
      </c>
      <c r="F54" s="127" t="s">
        <v>124</v>
      </c>
      <c r="G54" s="120" t="e">
        <f>G52+(G49*(G30/100)*G12*(G23/G24))</f>
        <v>#REF!</v>
      </c>
      <c r="H54" s="25" t="s">
        <v>300</v>
      </c>
    </row>
    <row r="55" spans="1:8" s="32" customFormat="1" ht="15" customHeight="1">
      <c r="A55" s="29" t="s">
        <v>117</v>
      </c>
      <c r="B55" s="127" t="s">
        <v>124</v>
      </c>
      <c r="C55" s="127" t="s">
        <v>124</v>
      </c>
      <c r="D55" s="127" t="s">
        <v>124</v>
      </c>
      <c r="E55" s="127" t="s">
        <v>124</v>
      </c>
      <c r="F55" s="127" t="s">
        <v>124</v>
      </c>
      <c r="G55" s="118" t="e">
        <f>G53+(G49*(G30/100)*G26)</f>
        <v>#REF!</v>
      </c>
      <c r="H55" s="25" t="s">
        <v>301</v>
      </c>
    </row>
    <row r="56" spans="1:8" s="32" customFormat="1" ht="15" customHeight="1">
      <c r="A56" s="29" t="s">
        <v>118</v>
      </c>
      <c r="B56" s="127" t="s">
        <v>124</v>
      </c>
      <c r="C56" s="127" t="s">
        <v>124</v>
      </c>
      <c r="D56" s="127" t="s">
        <v>124</v>
      </c>
      <c r="E56" s="127" t="s">
        <v>124</v>
      </c>
      <c r="F56" s="127" t="s">
        <v>124</v>
      </c>
      <c r="G56" s="118" t="e">
        <f>G54*(1-(G28/100))</f>
        <v>#REF!</v>
      </c>
      <c r="H56" s="25" t="s">
        <v>302</v>
      </c>
    </row>
    <row r="57" spans="1:8" s="32" customFormat="1" ht="15" customHeight="1">
      <c r="A57" s="29" t="s">
        <v>119</v>
      </c>
      <c r="B57" s="127" t="s">
        <v>124</v>
      </c>
      <c r="C57" s="127" t="s">
        <v>124</v>
      </c>
      <c r="D57" s="127" t="s">
        <v>124</v>
      </c>
      <c r="E57" s="127" t="s">
        <v>124</v>
      </c>
      <c r="F57" s="127" t="s">
        <v>124</v>
      </c>
      <c r="G57" s="128" t="e">
        <f>G55*(1-(G28/100))</f>
        <v>#REF!</v>
      </c>
      <c r="H57" s="25" t="s">
        <v>303</v>
      </c>
    </row>
    <row r="58" spans="1:8" s="32" customFormat="1" ht="15" customHeight="1">
      <c r="A58" s="29" t="s">
        <v>120</v>
      </c>
      <c r="B58" s="127" t="s">
        <v>124</v>
      </c>
      <c r="C58" s="127" t="s">
        <v>124</v>
      </c>
      <c r="D58" s="127" t="s">
        <v>124</v>
      </c>
      <c r="E58" s="127" t="s">
        <v>124</v>
      </c>
      <c r="F58" s="127" t="s">
        <v>124</v>
      </c>
      <c r="G58" s="118" t="e">
        <f>G56</f>
        <v>#REF!</v>
      </c>
      <c r="H58" s="25" t="s">
        <v>118</v>
      </c>
    </row>
    <row r="59" spans="1:8" s="32" customFormat="1" ht="15" customHeight="1">
      <c r="A59" s="29" t="s">
        <v>121</v>
      </c>
      <c r="B59" s="127" t="s">
        <v>124</v>
      </c>
      <c r="C59" s="127" t="s">
        <v>124</v>
      </c>
      <c r="D59" s="127" t="s">
        <v>124</v>
      </c>
      <c r="E59" s="127" t="s">
        <v>124</v>
      </c>
      <c r="F59" s="127" t="s">
        <v>124</v>
      </c>
      <c r="G59" s="118" t="e">
        <f>G57</f>
        <v>#REF!</v>
      </c>
      <c r="H59" s="25" t="s">
        <v>119</v>
      </c>
    </row>
    <row r="60" spans="1:8" s="32" customFormat="1" ht="15" customHeight="1">
      <c r="A60" s="29" t="s">
        <v>122</v>
      </c>
      <c r="B60" s="127" t="s">
        <v>124</v>
      </c>
      <c r="C60" s="127" t="s">
        <v>124</v>
      </c>
      <c r="D60" s="127" t="s">
        <v>124</v>
      </c>
      <c r="E60" s="127" t="s">
        <v>124</v>
      </c>
      <c r="F60" s="127" t="s">
        <v>124</v>
      </c>
      <c r="G60" s="128" t="e">
        <f>G58*(1-(G29/100))</f>
        <v>#REF!</v>
      </c>
      <c r="H60" s="25" t="s">
        <v>304</v>
      </c>
    </row>
    <row r="61" spans="1:8" s="32" customFormat="1" ht="15" customHeight="1">
      <c r="A61" s="29" t="s">
        <v>123</v>
      </c>
      <c r="B61" s="127" t="s">
        <v>124</v>
      </c>
      <c r="C61" s="127" t="s">
        <v>124</v>
      </c>
      <c r="D61" s="127" t="s">
        <v>124</v>
      </c>
      <c r="E61" s="127" t="s">
        <v>124</v>
      </c>
      <c r="F61" s="127" t="s">
        <v>124</v>
      </c>
      <c r="G61" s="118" t="e">
        <f>G59*(1-(G29/100))</f>
        <v>#REF!</v>
      </c>
      <c r="H61" s="25" t="s">
        <v>305</v>
      </c>
    </row>
    <row r="62" spans="1:8" s="32" customFormat="1" ht="15" customHeight="1">
      <c r="A62" s="29" t="s">
        <v>130</v>
      </c>
      <c r="B62" s="127" t="s">
        <v>124</v>
      </c>
      <c r="C62" s="127" t="s">
        <v>124</v>
      </c>
      <c r="D62" s="127" t="s">
        <v>124</v>
      </c>
      <c r="E62" s="127" t="s">
        <v>124</v>
      </c>
      <c r="F62" s="127" t="s">
        <v>124</v>
      </c>
      <c r="G62" s="118" t="e">
        <f>G60*(G31/G23)*(8760/2000)*(G20/100)</f>
        <v>#REF!</v>
      </c>
      <c r="H62" s="25" t="s">
        <v>298</v>
      </c>
    </row>
    <row r="63" spans="1:8" s="32" customFormat="1" ht="15" customHeight="1">
      <c r="A63" s="29" t="s">
        <v>131</v>
      </c>
      <c r="B63" s="127" t="s">
        <v>124</v>
      </c>
      <c r="C63" s="127" t="s">
        <v>124</v>
      </c>
      <c r="D63" s="127" t="s">
        <v>124</v>
      </c>
      <c r="E63" s="127" t="s">
        <v>124</v>
      </c>
      <c r="F63" s="127" t="s">
        <v>124</v>
      </c>
      <c r="G63" s="118" t="e">
        <f>(G62*2000)/G14</f>
        <v>#REF!</v>
      </c>
      <c r="H63" s="25" t="s">
        <v>147</v>
      </c>
    </row>
    <row r="64" spans="1:8" s="32" customFormat="1" ht="15" customHeight="1">
      <c r="A64" s="122" t="s">
        <v>132</v>
      </c>
      <c r="B64" s="129" t="s">
        <v>124</v>
      </c>
      <c r="C64" s="129" t="s">
        <v>124</v>
      </c>
      <c r="D64" s="129" t="s">
        <v>124</v>
      </c>
      <c r="E64" s="129" t="s">
        <v>124</v>
      </c>
      <c r="F64" s="129" t="s">
        <v>124</v>
      </c>
      <c r="G64" s="130" t="e">
        <f>(G60*(G31/G23))/G12</f>
        <v>#REF!</v>
      </c>
      <c r="H64" s="42" t="s">
        <v>299</v>
      </c>
    </row>
  </sheetData>
  <sheetProtection/>
  <mergeCells count="9">
    <mergeCell ref="F8:G8"/>
    <mergeCell ref="B9:B10"/>
    <mergeCell ref="C9:C10"/>
    <mergeCell ref="F9:F10"/>
    <mergeCell ref="G9:G10"/>
    <mergeCell ref="B8:C8"/>
    <mergeCell ref="D8:E8"/>
    <mergeCell ref="D9:D10"/>
    <mergeCell ref="E9:E10"/>
  </mergeCells>
  <printOptions/>
  <pageMargins left="0.32" right="0.22" top="1" bottom="1.64" header="0.5" footer="0.5"/>
  <pageSetup fitToHeight="2" fitToWidth="1" horizontalDpi="600" verticalDpi="600" orientation="landscape" scale="69"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1:V20"/>
  <sheetViews>
    <sheetView zoomScalePageLayoutView="0" workbookViewId="0" topLeftCell="A1">
      <pane xSplit="1" ySplit="6" topLeftCell="B7" activePane="bottomRight" state="frozen"/>
      <selection pane="topLeft" activeCell="B1" sqref="A1:IV1"/>
      <selection pane="topRight" activeCell="B1" sqref="A1:IV1"/>
      <selection pane="bottomLeft" activeCell="B1" sqref="A1:IV1"/>
      <selection pane="bottomRight" activeCell="C38" sqref="C38"/>
    </sheetView>
  </sheetViews>
  <sheetFormatPr defaultColWidth="9.140625" defaultRowHeight="12"/>
  <cols>
    <col min="1" max="1" width="24.7109375" style="3" customWidth="1"/>
    <col min="2" max="3" width="12.28125" style="0" customWidth="1"/>
  </cols>
  <sheetData>
    <row r="1" ht="12">
      <c r="A1" s="35" t="s">
        <v>446</v>
      </c>
    </row>
    <row r="2" ht="12.75">
      <c r="A2" s="10" t="s">
        <v>273</v>
      </c>
    </row>
    <row r="3" s="1" customFormat="1" ht="12.75">
      <c r="A3" s="11" t="s">
        <v>37</v>
      </c>
    </row>
    <row r="4" spans="1:3" s="1" customFormat="1" ht="12.75" customHeight="1">
      <c r="A4" s="131"/>
      <c r="B4" s="349"/>
      <c r="C4" s="350"/>
    </row>
    <row r="5" spans="1:3" s="1" customFormat="1" ht="12">
      <c r="A5" s="29"/>
      <c r="B5" s="353" t="s">
        <v>17</v>
      </c>
      <c r="C5" s="351" t="s">
        <v>18</v>
      </c>
    </row>
    <row r="6" spans="1:3" s="1" customFormat="1" ht="12">
      <c r="A6" s="132"/>
      <c r="B6" s="354"/>
      <c r="C6" s="352"/>
    </row>
    <row r="7" spans="1:22" ht="12">
      <c r="A7" s="29" t="s">
        <v>55</v>
      </c>
      <c r="B7" s="51" t="e">
        <f>B16*#REF!</f>
        <v>#REF!</v>
      </c>
      <c r="C7" s="51" t="e">
        <f>C16*#REF!</f>
        <v>#REF!</v>
      </c>
      <c r="D7" s="1"/>
      <c r="E7" s="1"/>
      <c r="F7" s="1"/>
      <c r="G7" s="1"/>
      <c r="H7" s="1"/>
      <c r="I7" s="1"/>
      <c r="J7" s="1"/>
      <c r="K7" s="1"/>
      <c r="L7" s="1"/>
      <c r="M7" s="1"/>
      <c r="N7" s="1"/>
      <c r="O7" s="1"/>
      <c r="P7" s="1"/>
      <c r="Q7" s="1"/>
      <c r="R7" s="1"/>
      <c r="S7" s="1"/>
      <c r="T7" s="1"/>
      <c r="U7" s="1"/>
      <c r="V7" s="1"/>
    </row>
    <row r="8" spans="1:22" ht="12">
      <c r="A8" s="29" t="s">
        <v>54</v>
      </c>
      <c r="B8" s="51" t="e">
        <f>B16*#REF!</f>
        <v>#REF!</v>
      </c>
      <c r="C8" s="51" t="e">
        <f>C16*#REF!</f>
        <v>#REF!</v>
      </c>
      <c r="D8" s="1"/>
      <c r="E8" s="1"/>
      <c r="F8" s="1"/>
      <c r="G8" s="1"/>
      <c r="H8" s="1"/>
      <c r="I8" s="1"/>
      <c r="J8" s="1"/>
      <c r="K8" s="1"/>
      <c r="L8" s="1"/>
      <c r="M8" s="1"/>
      <c r="N8" s="1"/>
      <c r="O8" s="1"/>
      <c r="P8" s="1"/>
      <c r="Q8" s="1"/>
      <c r="R8" s="1"/>
      <c r="S8" s="1"/>
      <c r="T8" s="1"/>
      <c r="U8" s="1"/>
      <c r="V8" s="1"/>
    </row>
    <row r="9" spans="1:22" ht="12">
      <c r="A9" s="29" t="s">
        <v>53</v>
      </c>
      <c r="B9" s="51" t="e">
        <f>B16*#REF!</f>
        <v>#REF!</v>
      </c>
      <c r="C9" s="51" t="e">
        <f>C16*#REF!</f>
        <v>#REF!</v>
      </c>
      <c r="D9" s="1"/>
      <c r="E9" s="1"/>
      <c r="F9" s="1"/>
      <c r="G9" s="1"/>
      <c r="H9" s="1"/>
      <c r="I9" s="1"/>
      <c r="J9" s="1"/>
      <c r="K9" s="1"/>
      <c r="L9" s="1"/>
      <c r="M9" s="1"/>
      <c r="N9" s="1"/>
      <c r="O9" s="1"/>
      <c r="P9" s="1"/>
      <c r="Q9" s="1"/>
      <c r="R9" s="1"/>
      <c r="S9" s="1"/>
      <c r="T9" s="1"/>
      <c r="U9" s="1"/>
      <c r="V9" s="1"/>
    </row>
    <row r="10" spans="1:22" ht="12">
      <c r="A10" s="29" t="s">
        <v>51</v>
      </c>
      <c r="B10" s="51" t="e">
        <f>B16*#REF!</f>
        <v>#REF!</v>
      </c>
      <c r="C10" s="51" t="e">
        <f>C16*#REF!</f>
        <v>#REF!</v>
      </c>
      <c r="D10" s="1"/>
      <c r="E10" s="1"/>
      <c r="F10" s="1"/>
      <c r="G10" s="1"/>
      <c r="H10" s="1"/>
      <c r="I10" s="1"/>
      <c r="J10" s="1"/>
      <c r="K10" s="1"/>
      <c r="L10" s="1"/>
      <c r="M10" s="1"/>
      <c r="N10" s="1"/>
      <c r="O10" s="1"/>
      <c r="P10" s="1"/>
      <c r="Q10" s="1"/>
      <c r="R10" s="1"/>
      <c r="S10" s="1"/>
      <c r="T10" s="1"/>
      <c r="U10" s="1"/>
      <c r="V10" s="1"/>
    </row>
    <row r="11" spans="1:22" ht="12">
      <c r="A11" s="29" t="s">
        <v>63</v>
      </c>
      <c r="B11" s="51" t="e">
        <f>#REF!*'Emission Projections'!B16</f>
        <v>#REF!</v>
      </c>
      <c r="C11" s="51" t="e">
        <f>#REF!*'Emission Projections'!C16</f>
        <v>#REF!</v>
      </c>
      <c r="D11" s="1"/>
      <c r="E11" s="1"/>
      <c r="F11" s="1"/>
      <c r="G11" s="1"/>
      <c r="H11" s="1"/>
      <c r="I11" s="1"/>
      <c r="J11" s="1"/>
      <c r="K11" s="1"/>
      <c r="L11" s="1"/>
      <c r="M11" s="1"/>
      <c r="N11" s="1"/>
      <c r="O11" s="1"/>
      <c r="P11" s="1"/>
      <c r="Q11" s="1"/>
      <c r="R11" s="1"/>
      <c r="S11" s="1"/>
      <c r="T11" s="1"/>
      <c r="U11" s="1"/>
      <c r="V11" s="1"/>
    </row>
    <row r="12" spans="1:22" ht="12">
      <c r="A12" s="29" t="s">
        <v>64</v>
      </c>
      <c r="B12" s="51" t="e">
        <f>B16*#REF!</f>
        <v>#REF!</v>
      </c>
      <c r="C12" s="51" t="e">
        <f>C16*#REF!</f>
        <v>#REF!</v>
      </c>
      <c r="D12" s="1"/>
      <c r="E12" s="1"/>
      <c r="F12" s="1"/>
      <c r="G12" s="1"/>
      <c r="H12" s="1"/>
      <c r="I12" s="1"/>
      <c r="J12" s="1"/>
      <c r="K12" s="1"/>
      <c r="L12" s="1"/>
      <c r="M12" s="1"/>
      <c r="N12" s="1"/>
      <c r="O12" s="1"/>
      <c r="P12" s="1"/>
      <c r="Q12" s="1"/>
      <c r="R12" s="1"/>
      <c r="S12" s="1"/>
      <c r="T12" s="1"/>
      <c r="U12" s="1"/>
      <c r="V12" s="1"/>
    </row>
    <row r="13" spans="1:22" ht="12">
      <c r="A13" s="29" t="s">
        <v>67</v>
      </c>
      <c r="B13" s="51" t="e">
        <f>B16*#REF!</f>
        <v>#REF!</v>
      </c>
      <c r="C13" s="51" t="e">
        <f>C16*#REF!</f>
        <v>#REF!</v>
      </c>
      <c r="D13" s="1"/>
      <c r="E13" s="1"/>
      <c r="F13" s="1"/>
      <c r="G13" s="1"/>
      <c r="H13" s="1"/>
      <c r="I13" s="1"/>
      <c r="J13" s="1"/>
      <c r="K13" s="1"/>
      <c r="L13" s="1"/>
      <c r="M13" s="1"/>
      <c r="N13" s="1"/>
      <c r="O13" s="1"/>
      <c r="P13" s="1"/>
      <c r="Q13" s="1"/>
      <c r="R13" s="1"/>
      <c r="S13" s="1"/>
      <c r="T13" s="1"/>
      <c r="U13" s="1"/>
      <c r="V13" s="1"/>
    </row>
    <row r="14" spans="1:22" ht="12">
      <c r="A14" s="29" t="s">
        <v>71</v>
      </c>
      <c r="B14" s="51" t="e">
        <f>B16*#REF!</f>
        <v>#REF!</v>
      </c>
      <c r="C14" s="51" t="e">
        <f>C16*#REF!</f>
        <v>#REF!</v>
      </c>
      <c r="D14" s="1"/>
      <c r="E14" s="1"/>
      <c r="F14" s="1"/>
      <c r="G14" s="1"/>
      <c r="H14" s="1"/>
      <c r="I14" s="1"/>
      <c r="J14" s="1"/>
      <c r="K14" s="1"/>
      <c r="L14" s="1"/>
      <c r="M14" s="1"/>
      <c r="N14" s="1"/>
      <c r="O14" s="1"/>
      <c r="P14" s="1"/>
      <c r="Q14" s="1"/>
      <c r="R14" s="1"/>
      <c r="S14" s="1"/>
      <c r="T14" s="1"/>
      <c r="U14" s="1"/>
      <c r="V14" s="1"/>
    </row>
    <row r="15" spans="1:22" ht="12">
      <c r="A15" s="123" t="s">
        <v>9</v>
      </c>
      <c r="B15" s="133"/>
      <c r="C15" s="133"/>
      <c r="D15" s="1"/>
      <c r="E15" s="1"/>
      <c r="F15" s="1"/>
      <c r="G15" s="1"/>
      <c r="H15" s="1"/>
      <c r="I15" s="1"/>
      <c r="J15" s="1"/>
      <c r="K15" s="1"/>
      <c r="L15" s="1"/>
      <c r="M15" s="1"/>
      <c r="N15" s="1"/>
      <c r="O15" s="1"/>
      <c r="P15" s="1"/>
      <c r="Q15" s="1"/>
      <c r="R15" s="1"/>
      <c r="S15" s="1"/>
      <c r="T15" s="1"/>
      <c r="U15" s="1"/>
      <c r="V15" s="1"/>
    </row>
    <row r="16" spans="1:22" ht="12">
      <c r="A16" s="125" t="s">
        <v>10</v>
      </c>
      <c r="B16" s="52">
        <v>1</v>
      </c>
      <c r="C16" s="52">
        <v>1</v>
      </c>
      <c r="D16" s="1"/>
      <c r="E16" s="1"/>
      <c r="F16" s="1"/>
      <c r="G16" s="1"/>
      <c r="H16" s="1"/>
      <c r="I16" s="1"/>
      <c r="J16" s="1"/>
      <c r="K16" s="1"/>
      <c r="L16" s="1"/>
      <c r="M16" s="1"/>
      <c r="N16" s="1"/>
      <c r="O16" s="1"/>
      <c r="P16" s="1"/>
      <c r="Q16" s="1"/>
      <c r="R16" s="1"/>
      <c r="S16" s="1"/>
      <c r="T16" s="1"/>
      <c r="U16" s="1"/>
      <c r="V16" s="1"/>
    </row>
    <row r="17" spans="1:22" ht="12">
      <c r="A17" s="134"/>
      <c r="B17" s="134"/>
      <c r="C17" s="134"/>
      <c r="D17" s="1"/>
      <c r="E17" s="1"/>
      <c r="F17" s="1"/>
      <c r="G17" s="1"/>
      <c r="H17" s="1"/>
      <c r="I17" s="1"/>
      <c r="J17" s="1"/>
      <c r="K17" s="1"/>
      <c r="L17" s="1"/>
      <c r="M17" s="1"/>
      <c r="N17" s="1"/>
      <c r="O17" s="1"/>
      <c r="P17" s="1"/>
      <c r="Q17" s="1"/>
      <c r="R17" s="1"/>
      <c r="S17" s="1"/>
      <c r="T17" s="1"/>
      <c r="U17" s="1"/>
      <c r="V17" s="1"/>
    </row>
    <row r="18" spans="1:22" ht="12">
      <c r="A18" s="135" t="s">
        <v>149</v>
      </c>
      <c r="B18" s="135"/>
      <c r="C18" s="136"/>
      <c r="D18" s="1"/>
      <c r="E18" s="1"/>
      <c r="F18" s="1"/>
      <c r="G18" s="1"/>
      <c r="H18" s="1"/>
      <c r="I18" s="1"/>
      <c r="J18" s="1"/>
      <c r="K18" s="1"/>
      <c r="L18" s="1"/>
      <c r="M18" s="1"/>
      <c r="N18" s="1"/>
      <c r="O18" s="1"/>
      <c r="P18" s="1"/>
      <c r="Q18" s="1"/>
      <c r="R18" s="1"/>
      <c r="S18" s="1"/>
      <c r="T18" s="1"/>
      <c r="U18" s="1"/>
      <c r="V18" s="1"/>
    </row>
    <row r="19" spans="1:22" ht="12">
      <c r="A19" s="137"/>
      <c r="B19" s="136"/>
      <c r="C19" s="136"/>
      <c r="D19" s="1"/>
      <c r="E19" s="1"/>
      <c r="F19" s="1"/>
      <c r="G19" s="1"/>
      <c r="H19" s="1"/>
      <c r="I19" s="1"/>
      <c r="J19" s="1"/>
      <c r="K19" s="1"/>
      <c r="L19" s="1"/>
      <c r="M19" s="1"/>
      <c r="N19" s="1"/>
      <c r="O19" s="1"/>
      <c r="P19" s="1"/>
      <c r="Q19" s="1"/>
      <c r="R19" s="1"/>
      <c r="S19" s="1"/>
      <c r="T19" s="1"/>
      <c r="U19" s="1"/>
      <c r="V19" s="1"/>
    </row>
    <row r="20" spans="4:22" ht="12">
      <c r="D20" s="1"/>
      <c r="E20" s="1"/>
      <c r="F20" s="1"/>
      <c r="G20" s="1"/>
      <c r="H20" s="1"/>
      <c r="I20" s="1"/>
      <c r="J20" s="1"/>
      <c r="K20" s="1"/>
      <c r="L20" s="1"/>
      <c r="M20" s="1"/>
      <c r="N20" s="1"/>
      <c r="O20" s="1"/>
      <c r="P20" s="1"/>
      <c r="Q20" s="1"/>
      <c r="R20" s="1"/>
      <c r="S20" s="1"/>
      <c r="T20" s="1"/>
      <c r="U20" s="1"/>
      <c r="V20" s="1"/>
    </row>
  </sheetData>
  <sheetProtection/>
  <mergeCells count="3">
    <mergeCell ref="B4:C4"/>
    <mergeCell ref="C5:C6"/>
    <mergeCell ref="B5:B6"/>
  </mergeCells>
  <printOptions horizontalCentered="1"/>
  <pageMargins left="0.6" right="0.6"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40">
    <pageSetUpPr fitToPage="1"/>
  </sheetPr>
  <dimension ref="A1:X35"/>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10" sqref="A10"/>
      <selection pane="bottomRight" activeCell="D29" sqref="D29"/>
    </sheetView>
  </sheetViews>
  <sheetFormatPr defaultColWidth="9.140625" defaultRowHeight="12"/>
  <cols>
    <col min="1" max="1" width="35.57421875" style="3" customWidth="1"/>
    <col min="2" max="5" width="12.28125" style="0" customWidth="1"/>
    <col min="6" max="6" width="91.421875" style="0" customWidth="1"/>
  </cols>
  <sheetData>
    <row r="1" spans="1:6" ht="12">
      <c r="A1" s="35" t="s">
        <v>447</v>
      </c>
      <c r="B1" s="58"/>
      <c r="C1" s="58"/>
      <c r="D1" s="58"/>
      <c r="E1" s="58"/>
      <c r="F1" s="58"/>
    </row>
    <row r="2" spans="1:6" ht="13.5">
      <c r="A2" s="59" t="s">
        <v>274</v>
      </c>
      <c r="B2" s="60"/>
      <c r="C2" s="60"/>
      <c r="D2" s="60"/>
      <c r="E2" s="60"/>
      <c r="F2" s="60"/>
    </row>
    <row r="3" spans="1:6" ht="13.5">
      <c r="A3" s="61" t="s">
        <v>37</v>
      </c>
      <c r="B3" s="62"/>
      <c r="C3" s="62"/>
      <c r="D3" s="62"/>
      <c r="E3" s="62"/>
      <c r="F3" s="62"/>
    </row>
    <row r="4" spans="1:24" ht="16.5" customHeight="1">
      <c r="A4" s="63"/>
      <c r="B4" s="355" t="s">
        <v>7</v>
      </c>
      <c r="C4" s="355"/>
      <c r="D4" s="355" t="s">
        <v>5</v>
      </c>
      <c r="E4" s="355"/>
      <c r="F4" s="64" t="s">
        <v>32</v>
      </c>
      <c r="G4" s="1"/>
      <c r="H4" s="1"/>
      <c r="I4" s="1"/>
      <c r="J4" s="1"/>
      <c r="K4" s="1"/>
      <c r="L4" s="1"/>
      <c r="M4" s="1"/>
      <c r="N4" s="1"/>
      <c r="O4" s="1"/>
      <c r="P4" s="1"/>
      <c r="Q4" s="1"/>
      <c r="R4" s="1"/>
      <c r="S4" s="1"/>
      <c r="T4" s="1"/>
      <c r="U4" s="1"/>
      <c r="V4" s="1"/>
      <c r="W4" s="1"/>
      <c r="X4" s="1"/>
    </row>
    <row r="5" spans="1:24" ht="12">
      <c r="A5" s="29"/>
      <c r="B5" s="355" t="s">
        <v>17</v>
      </c>
      <c r="C5" s="356" t="s">
        <v>18</v>
      </c>
      <c r="D5" s="355" t="s">
        <v>17</v>
      </c>
      <c r="E5" s="356" t="s">
        <v>18</v>
      </c>
      <c r="F5" s="65"/>
      <c r="G5" s="1"/>
      <c r="H5" s="1"/>
      <c r="I5" s="1"/>
      <c r="J5" s="1"/>
      <c r="K5" s="1"/>
      <c r="L5" s="1"/>
      <c r="M5" s="1"/>
      <c r="N5" s="1"/>
      <c r="O5" s="1"/>
      <c r="P5" s="1"/>
      <c r="Q5" s="1"/>
      <c r="R5" s="1"/>
      <c r="S5" s="1"/>
      <c r="T5" s="1"/>
      <c r="U5" s="1"/>
      <c r="V5" s="1"/>
      <c r="W5" s="1"/>
      <c r="X5" s="1"/>
    </row>
    <row r="6" spans="1:24" ht="12">
      <c r="A6" s="66"/>
      <c r="B6" s="358"/>
      <c r="C6" s="357"/>
      <c r="D6" s="358"/>
      <c r="E6" s="357"/>
      <c r="F6" s="69"/>
      <c r="G6" s="1"/>
      <c r="H6" s="1"/>
      <c r="I6" s="1"/>
      <c r="J6" s="1"/>
      <c r="K6" s="1"/>
      <c r="L6" s="1"/>
      <c r="M6" s="1"/>
      <c r="N6" s="1"/>
      <c r="O6" s="1"/>
      <c r="P6" s="1"/>
      <c r="Q6" s="1"/>
      <c r="R6" s="1"/>
      <c r="S6" s="1"/>
      <c r="T6" s="1"/>
      <c r="U6" s="1"/>
      <c r="V6" s="1"/>
      <c r="W6" s="1"/>
      <c r="X6" s="1"/>
    </row>
    <row r="7" spans="1:24" ht="12">
      <c r="A7" s="70" t="s">
        <v>19</v>
      </c>
      <c r="B7" s="70"/>
      <c r="C7" s="70"/>
      <c r="D7" s="71"/>
      <c r="E7" s="72"/>
      <c r="F7" s="38"/>
      <c r="G7" s="1"/>
      <c r="H7" s="1"/>
      <c r="I7" s="1"/>
      <c r="J7" s="1"/>
      <c r="K7" s="1"/>
      <c r="L7" s="1"/>
      <c r="M7" s="1"/>
      <c r="N7" s="1"/>
      <c r="O7" s="1"/>
      <c r="P7" s="1"/>
      <c r="Q7" s="1"/>
      <c r="R7" s="1"/>
      <c r="S7" s="1"/>
      <c r="T7" s="1"/>
      <c r="U7" s="1"/>
      <c r="V7" s="1"/>
      <c r="W7" s="1"/>
      <c r="X7" s="1"/>
    </row>
    <row r="8" spans="1:24" ht="12">
      <c r="A8" s="23" t="s">
        <v>20</v>
      </c>
      <c r="B8" s="73">
        <v>456</v>
      </c>
      <c r="C8" s="73">
        <v>456</v>
      </c>
      <c r="D8" s="73">
        <v>456</v>
      </c>
      <c r="E8" s="73">
        <v>456</v>
      </c>
      <c r="F8" s="74" t="s">
        <v>108</v>
      </c>
      <c r="G8" s="1"/>
      <c r="H8" s="1"/>
      <c r="I8" s="1"/>
      <c r="J8" s="1"/>
      <c r="K8" s="1"/>
      <c r="L8" s="1"/>
      <c r="M8" s="1"/>
      <c r="N8" s="1"/>
      <c r="O8" s="1"/>
      <c r="P8" s="1"/>
      <c r="Q8" s="1"/>
      <c r="R8" s="1"/>
      <c r="S8" s="1"/>
      <c r="T8" s="1"/>
      <c r="U8" s="1"/>
      <c r="V8" s="1"/>
      <c r="W8" s="1"/>
      <c r="X8" s="1"/>
    </row>
    <row r="9" spans="1:24" ht="13.5" customHeight="1">
      <c r="A9" s="23" t="s">
        <v>164</v>
      </c>
      <c r="B9" s="75">
        <v>4719</v>
      </c>
      <c r="C9" s="75">
        <v>4719</v>
      </c>
      <c r="D9" s="75">
        <v>4719</v>
      </c>
      <c r="E9" s="75">
        <v>4719</v>
      </c>
      <c r="F9" s="74" t="s">
        <v>186</v>
      </c>
      <c r="G9" s="1"/>
      <c r="H9" s="1"/>
      <c r="I9" s="1"/>
      <c r="J9" s="1"/>
      <c r="K9" s="1"/>
      <c r="L9" s="1"/>
      <c r="M9" s="1"/>
      <c r="N9" s="1"/>
      <c r="O9" s="1"/>
      <c r="P9" s="1"/>
      <c r="Q9" s="1"/>
      <c r="R9" s="1"/>
      <c r="S9" s="1"/>
      <c r="T9" s="1"/>
      <c r="U9" s="1"/>
      <c r="V9" s="1"/>
      <c r="W9" s="1"/>
      <c r="X9" s="1"/>
    </row>
    <row r="10" spans="1:24" ht="14.25" customHeight="1">
      <c r="A10" s="23" t="s">
        <v>31</v>
      </c>
      <c r="B10" s="75">
        <f>B9*B11</f>
        <v>41338440</v>
      </c>
      <c r="C10" s="75">
        <f>C9*C11</f>
        <v>41338440</v>
      </c>
      <c r="D10" s="75">
        <f>D9*D11</f>
        <v>41338440</v>
      </c>
      <c r="E10" s="75">
        <f>E9*E11</f>
        <v>41338440</v>
      </c>
      <c r="F10" s="76" t="s">
        <v>187</v>
      </c>
      <c r="G10" s="1"/>
      <c r="H10" s="1"/>
      <c r="I10" s="1"/>
      <c r="J10" s="1"/>
      <c r="K10" s="1"/>
      <c r="L10" s="1"/>
      <c r="M10" s="1"/>
      <c r="N10" s="1"/>
      <c r="O10" s="1"/>
      <c r="P10" s="1"/>
      <c r="Q10" s="1"/>
      <c r="R10" s="1"/>
      <c r="S10" s="1"/>
      <c r="T10" s="1"/>
      <c r="U10" s="1"/>
      <c r="V10" s="1"/>
      <c r="W10" s="1"/>
      <c r="X10" s="1"/>
    </row>
    <row r="11" spans="1:24" ht="12">
      <c r="A11" s="23" t="s">
        <v>43</v>
      </c>
      <c r="B11" s="75">
        <v>8760</v>
      </c>
      <c r="C11" s="75">
        <v>8760</v>
      </c>
      <c r="D11" s="75">
        <v>8760</v>
      </c>
      <c r="E11" s="75">
        <v>8760</v>
      </c>
      <c r="F11" s="76" t="s">
        <v>109</v>
      </c>
      <c r="G11" s="1"/>
      <c r="H11" s="1"/>
      <c r="I11" s="1"/>
      <c r="J11" s="1"/>
      <c r="K11" s="1"/>
      <c r="L11" s="1"/>
      <c r="M11" s="1"/>
      <c r="N11" s="1"/>
      <c r="O11" s="1"/>
      <c r="P11" s="1"/>
      <c r="Q11" s="1"/>
      <c r="R11" s="1"/>
      <c r="S11" s="1"/>
      <c r="T11" s="1"/>
      <c r="U11" s="1"/>
      <c r="V11" s="1"/>
      <c r="W11" s="1"/>
      <c r="X11" s="1"/>
    </row>
    <row r="12" spans="1:24" ht="12">
      <c r="A12" s="23" t="s">
        <v>44</v>
      </c>
      <c r="B12" s="75">
        <v>2335505</v>
      </c>
      <c r="C12" s="75">
        <v>2335505</v>
      </c>
      <c r="D12" s="75">
        <v>2335505</v>
      </c>
      <c r="E12" s="75">
        <v>2335505</v>
      </c>
      <c r="F12" s="74" t="s">
        <v>108</v>
      </c>
      <c r="G12" s="1"/>
      <c r="H12" s="1"/>
      <c r="I12" s="1"/>
      <c r="J12" s="1"/>
      <c r="K12" s="1"/>
      <c r="L12" s="1"/>
      <c r="M12" s="1"/>
      <c r="N12" s="1"/>
      <c r="O12" s="1"/>
      <c r="P12" s="1"/>
      <c r="Q12" s="1"/>
      <c r="R12" s="1"/>
      <c r="S12" s="1"/>
      <c r="T12" s="1"/>
      <c r="U12" s="1"/>
      <c r="V12" s="1"/>
      <c r="W12" s="1"/>
      <c r="X12" s="1"/>
    </row>
    <row r="13" spans="1:24" ht="14.25" customHeight="1">
      <c r="A13" s="23" t="s">
        <v>29</v>
      </c>
      <c r="B13" s="75">
        <f>(B12*2000)/B11</f>
        <v>533220.3196347032</v>
      </c>
      <c r="C13" s="75">
        <f>(C12*2000)/C11</f>
        <v>533220.3196347032</v>
      </c>
      <c r="D13" s="75">
        <f>(D12*2000)/D11</f>
        <v>533220.3196347032</v>
      </c>
      <c r="E13" s="75">
        <f>(E12*2000)/E11</f>
        <v>533220.3196347032</v>
      </c>
      <c r="F13" s="74" t="s">
        <v>191</v>
      </c>
      <c r="G13" s="1"/>
      <c r="H13" s="1"/>
      <c r="I13" s="1"/>
      <c r="J13" s="1"/>
      <c r="K13" s="1"/>
      <c r="L13" s="1"/>
      <c r="M13" s="1"/>
      <c r="N13" s="1"/>
      <c r="O13" s="1"/>
      <c r="P13" s="1"/>
      <c r="Q13" s="1"/>
      <c r="R13" s="1"/>
      <c r="S13" s="1"/>
      <c r="T13" s="1"/>
      <c r="U13" s="1"/>
      <c r="V13" s="1"/>
      <c r="W13" s="1"/>
      <c r="X13" s="1"/>
    </row>
    <row r="14" spans="1:24" ht="12">
      <c r="A14" s="53" t="s">
        <v>21</v>
      </c>
      <c r="B14" s="77">
        <v>8710</v>
      </c>
      <c r="C14" s="77">
        <v>8710</v>
      </c>
      <c r="D14" s="77">
        <v>8710</v>
      </c>
      <c r="E14" s="77">
        <v>8710</v>
      </c>
      <c r="F14" s="78" t="s">
        <v>108</v>
      </c>
      <c r="G14" s="1"/>
      <c r="H14" s="1"/>
      <c r="I14" s="1"/>
      <c r="J14" s="1"/>
      <c r="K14" s="1"/>
      <c r="L14" s="1"/>
      <c r="M14" s="1"/>
      <c r="N14" s="1"/>
      <c r="O14" s="1"/>
      <c r="P14" s="1"/>
      <c r="Q14" s="1"/>
      <c r="R14" s="1"/>
      <c r="S14" s="1"/>
      <c r="T14" s="1"/>
      <c r="U14" s="1"/>
      <c r="V14" s="1"/>
      <c r="W14" s="1"/>
      <c r="X14" s="1"/>
    </row>
    <row r="15" spans="1:24" ht="12">
      <c r="A15" s="79" t="s">
        <v>196</v>
      </c>
      <c r="B15" s="67"/>
      <c r="C15" s="68"/>
      <c r="D15" s="67"/>
      <c r="E15" s="68"/>
      <c r="F15" s="69"/>
      <c r="G15" s="1"/>
      <c r="H15" s="1"/>
      <c r="I15" s="1"/>
      <c r="J15" s="1"/>
      <c r="K15" s="1"/>
      <c r="L15" s="1"/>
      <c r="M15" s="1"/>
      <c r="N15" s="1"/>
      <c r="O15" s="1"/>
      <c r="P15" s="1"/>
      <c r="Q15" s="1"/>
      <c r="R15" s="1"/>
      <c r="S15" s="1"/>
      <c r="T15" s="1"/>
      <c r="U15" s="1"/>
      <c r="V15" s="1"/>
      <c r="W15" s="1"/>
      <c r="X15" s="1"/>
    </row>
    <row r="16" spans="1:24" ht="12">
      <c r="A16" s="16" t="s">
        <v>198</v>
      </c>
      <c r="B16" s="30">
        <f>AVERAGE('Baseline Actual Emissions'!B34,'Baseline Actual Emissions'!D34)</f>
        <v>0.03</v>
      </c>
      <c r="C16" s="30">
        <f>AVERAGE('Baseline Actual Emissions'!C34,'Baseline Actual Emissions'!E34)</f>
        <v>0.03</v>
      </c>
      <c r="D16" s="30">
        <f>AVERAGE('Baseline Actual Emissions'!D34,'Baseline Actual Emissions'!F34)</f>
        <v>0.03</v>
      </c>
      <c r="E16" s="30">
        <f>AVERAGE('Baseline Actual Emissions'!E34,'Baseline Actual Emissions'!G34)</f>
        <v>0.03</v>
      </c>
      <c r="F16" s="16" t="s">
        <v>197</v>
      </c>
      <c r="G16" s="1"/>
      <c r="H16" s="1"/>
      <c r="I16" s="1"/>
      <c r="J16" s="1"/>
      <c r="K16" s="1"/>
      <c r="L16" s="1"/>
      <c r="M16" s="1"/>
      <c r="N16" s="1"/>
      <c r="O16" s="1"/>
      <c r="P16" s="1"/>
      <c r="Q16" s="1"/>
      <c r="R16" s="1"/>
      <c r="S16" s="1"/>
      <c r="T16" s="1"/>
      <c r="U16" s="1"/>
      <c r="V16" s="1"/>
      <c r="W16" s="1"/>
      <c r="X16" s="1"/>
    </row>
    <row r="17" spans="1:24" ht="12">
      <c r="A17" s="16" t="s">
        <v>199</v>
      </c>
      <c r="B17" s="30">
        <f>AVERAGE('Baseline Actual Emissions'!B43,'Baseline Actual Emissions'!D43)</f>
        <v>0.039551489236866855</v>
      </c>
      <c r="C17" s="30">
        <f>AVERAGE('Baseline Actual Emissions'!C43,'Baseline Actual Emissions'!E43)</f>
        <v>0.039732795413465166</v>
      </c>
      <c r="D17" s="30">
        <f>AVERAGE('Baseline Actual Emissions'!D43,'Baseline Actual Emissions'!F43)</f>
        <v>0.039724099214036204</v>
      </c>
      <c r="E17" s="30">
        <f>AVERAGE('Baseline Actual Emissions'!E43,'Baseline Actual Emissions'!G43)</f>
        <v>0.03973367317987152</v>
      </c>
      <c r="F17" s="16" t="s">
        <v>197</v>
      </c>
      <c r="G17" s="1"/>
      <c r="H17" s="1"/>
      <c r="I17" s="1"/>
      <c r="J17" s="1"/>
      <c r="K17" s="1"/>
      <c r="L17" s="1"/>
      <c r="M17" s="1"/>
      <c r="N17" s="1"/>
      <c r="O17" s="1"/>
      <c r="P17" s="1"/>
      <c r="Q17" s="1"/>
      <c r="R17" s="1"/>
      <c r="S17" s="1"/>
      <c r="T17" s="1"/>
      <c r="U17" s="1"/>
      <c r="V17" s="1"/>
      <c r="W17" s="1"/>
      <c r="X17" s="1"/>
    </row>
    <row r="18" spans="1:24" ht="12">
      <c r="A18" s="16" t="s">
        <v>200</v>
      </c>
      <c r="B18" s="31">
        <f>AVERAGE('Baseline Actual Emissions'!B52,'Baseline Actual Emissions'!D52)</f>
        <v>0.004551489236866852</v>
      </c>
      <c r="C18" s="31">
        <f>AVERAGE('Baseline Actual Emissions'!C52,'Baseline Actual Emissions'!E52)</f>
        <v>0.004732795413465172</v>
      </c>
      <c r="D18" s="31">
        <f>AVERAGE('Baseline Actual Emissions'!D52,'Baseline Actual Emissions'!F52)</f>
        <v>0.0047240992140362035</v>
      </c>
      <c r="E18" s="31">
        <f>AVERAGE('Baseline Actual Emissions'!E52,'Baseline Actual Emissions'!G52)</f>
        <v>0.004733673179871521</v>
      </c>
      <c r="F18" s="16" t="s">
        <v>197</v>
      </c>
      <c r="G18" s="1"/>
      <c r="H18" s="1"/>
      <c r="I18" s="1"/>
      <c r="J18" s="1"/>
      <c r="K18" s="1"/>
      <c r="L18" s="1"/>
      <c r="M18" s="1"/>
      <c r="N18" s="1"/>
      <c r="O18" s="1"/>
      <c r="P18" s="1"/>
      <c r="Q18" s="1"/>
      <c r="R18" s="1"/>
      <c r="S18" s="1"/>
      <c r="T18" s="1"/>
      <c r="U18" s="1"/>
      <c r="V18" s="1"/>
      <c r="W18" s="1"/>
      <c r="X18" s="1"/>
    </row>
    <row r="19" spans="1:24" ht="12">
      <c r="A19" s="16" t="s">
        <v>201</v>
      </c>
      <c r="B19" s="39">
        <f>AVERAGE('Baseline Actual Emissions'!B55,'Baseline Actual Emissions'!D55)</f>
        <v>0.5</v>
      </c>
      <c r="C19" s="39">
        <f>AVERAGE('Baseline Actual Emissions'!C55,'Baseline Actual Emissions'!E55)</f>
        <v>0.5</v>
      </c>
      <c r="D19" s="39">
        <f>AVERAGE('Baseline Actual Emissions'!D55,'Baseline Actual Emissions'!F55)</f>
        <v>0.5</v>
      </c>
      <c r="E19" s="39">
        <f>AVERAGE('Baseline Actual Emissions'!E55,'Baseline Actual Emissions'!G55)</f>
        <v>0.5</v>
      </c>
      <c r="F19" s="16" t="s">
        <v>197</v>
      </c>
      <c r="G19" s="1"/>
      <c r="H19" s="1"/>
      <c r="I19" s="1"/>
      <c r="J19" s="1"/>
      <c r="K19" s="1"/>
      <c r="L19" s="1"/>
      <c r="M19" s="1"/>
      <c r="N19" s="1"/>
      <c r="O19" s="1"/>
      <c r="P19" s="1"/>
      <c r="Q19" s="1"/>
      <c r="R19" s="1"/>
      <c r="S19" s="1"/>
      <c r="T19" s="1"/>
      <c r="U19" s="1"/>
      <c r="V19" s="1"/>
      <c r="W19" s="1"/>
      <c r="X19" s="1"/>
    </row>
    <row r="20" spans="1:24" ht="12">
      <c r="A20" s="16" t="s">
        <v>202</v>
      </c>
      <c r="B20" s="57">
        <f>AVERAGE('Baseline Actual Emissions'!B58,'Baseline Actual Emissions'!D58)</f>
        <v>0.06</v>
      </c>
      <c r="C20" s="57">
        <f>AVERAGE('Baseline Actual Emissions'!C58,'Baseline Actual Emissions'!E58)</f>
        <v>0.06</v>
      </c>
      <c r="D20" s="57">
        <f>AVERAGE('Baseline Actual Emissions'!D58,'Baseline Actual Emissions'!F58)</f>
        <v>0.06</v>
      </c>
      <c r="E20" s="57">
        <f>AVERAGE('Baseline Actual Emissions'!E58,'Baseline Actual Emissions'!G58)</f>
        <v>0.06</v>
      </c>
      <c r="F20" s="16" t="s">
        <v>197</v>
      </c>
      <c r="G20" s="1"/>
      <c r="H20" s="1"/>
      <c r="I20" s="1"/>
      <c r="J20" s="1"/>
      <c r="K20" s="1"/>
      <c r="L20" s="1"/>
      <c r="M20" s="1"/>
      <c r="N20" s="1"/>
      <c r="O20" s="1"/>
      <c r="P20" s="1"/>
      <c r="Q20" s="1"/>
      <c r="R20" s="1"/>
      <c r="S20" s="1"/>
      <c r="T20" s="1"/>
      <c r="U20" s="1"/>
      <c r="V20" s="1"/>
      <c r="W20" s="1"/>
      <c r="X20" s="1"/>
    </row>
    <row r="21" spans="1:24" ht="12">
      <c r="A21" s="45" t="s">
        <v>210</v>
      </c>
      <c r="B21" s="87">
        <f>AVERAGE('Baseline Actual Emissions'!B64,'Baseline Actual Emissions'!D64)</f>
        <v>8.3E-06</v>
      </c>
      <c r="C21" s="87">
        <f>AVERAGE('Baseline Actual Emissions'!C64,'Baseline Actual Emissions'!E64)</f>
        <v>8.3E-06</v>
      </c>
      <c r="D21" s="87">
        <f>AVERAGE('Baseline Actual Emissions'!B64,'Baseline Actual Emissions'!D64)</f>
        <v>8.3E-06</v>
      </c>
      <c r="E21" s="87">
        <f>AVERAGE('Baseline Actual Emissions'!C64,'Baseline Actual Emissions'!E64)</f>
        <v>8.3E-06</v>
      </c>
      <c r="F21" s="45" t="s">
        <v>197</v>
      </c>
      <c r="G21" s="1"/>
      <c r="H21" s="1"/>
      <c r="I21" s="1"/>
      <c r="J21" s="1"/>
      <c r="K21" s="1"/>
      <c r="L21" s="1"/>
      <c r="M21" s="1"/>
      <c r="N21" s="1"/>
      <c r="O21" s="1"/>
      <c r="P21" s="1"/>
      <c r="Q21" s="1"/>
      <c r="R21" s="1"/>
      <c r="S21" s="1"/>
      <c r="T21" s="1"/>
      <c r="U21" s="1"/>
      <c r="V21" s="1"/>
      <c r="W21" s="1"/>
      <c r="X21" s="1"/>
    </row>
    <row r="22" spans="1:24" ht="12">
      <c r="A22" s="79" t="s">
        <v>74</v>
      </c>
      <c r="B22" s="67"/>
      <c r="C22" s="68"/>
      <c r="D22" s="67"/>
      <c r="E22" s="68"/>
      <c r="F22" s="69"/>
      <c r="G22" s="1"/>
      <c r="H22" s="1"/>
      <c r="I22" s="1"/>
      <c r="J22" s="1"/>
      <c r="K22" s="1"/>
      <c r="L22" s="1"/>
      <c r="M22" s="1"/>
      <c r="N22" s="1"/>
      <c r="O22" s="1"/>
      <c r="P22" s="1"/>
      <c r="Q22" s="1"/>
      <c r="R22" s="1"/>
      <c r="S22" s="1"/>
      <c r="T22" s="1"/>
      <c r="U22" s="1"/>
      <c r="V22" s="1"/>
      <c r="W22" s="1"/>
      <c r="X22" s="1"/>
    </row>
    <row r="23" spans="1:24" ht="14.25" customHeight="1">
      <c r="A23" s="16" t="s">
        <v>55</v>
      </c>
      <c r="B23" s="30">
        <v>0</v>
      </c>
      <c r="C23" s="30">
        <v>0</v>
      </c>
      <c r="D23" s="30">
        <v>0</v>
      </c>
      <c r="E23" s="30">
        <v>0</v>
      </c>
      <c r="F23" s="16" t="s">
        <v>155</v>
      </c>
      <c r="G23" s="1"/>
      <c r="H23" s="1"/>
      <c r="I23" s="1"/>
      <c r="J23" s="1"/>
      <c r="K23" s="1"/>
      <c r="L23" s="1"/>
      <c r="M23" s="1"/>
      <c r="N23" s="1"/>
      <c r="O23" s="1"/>
      <c r="P23" s="1"/>
      <c r="Q23" s="1"/>
      <c r="R23" s="1"/>
      <c r="S23" s="1"/>
      <c r="T23" s="1"/>
      <c r="U23" s="1"/>
      <c r="V23" s="1"/>
      <c r="W23" s="1"/>
      <c r="X23" s="1"/>
    </row>
    <row r="24" spans="1:24" ht="15" customHeight="1">
      <c r="A24" s="16" t="s">
        <v>54</v>
      </c>
      <c r="B24" s="30">
        <v>0</v>
      </c>
      <c r="C24" s="30">
        <v>0</v>
      </c>
      <c r="D24" s="30">
        <v>0</v>
      </c>
      <c r="E24" s="30">
        <v>0</v>
      </c>
      <c r="F24" s="16" t="s">
        <v>155</v>
      </c>
      <c r="G24" s="1"/>
      <c r="H24" s="1"/>
      <c r="I24" s="1"/>
      <c r="J24" s="1"/>
      <c r="K24" s="1"/>
      <c r="L24" s="1"/>
      <c r="M24" s="1"/>
      <c r="N24" s="1"/>
      <c r="O24" s="1"/>
      <c r="P24" s="1"/>
      <c r="Q24" s="1"/>
      <c r="R24" s="1"/>
      <c r="S24" s="1"/>
      <c r="T24" s="1"/>
      <c r="U24" s="1"/>
      <c r="V24" s="1"/>
      <c r="W24" s="1"/>
      <c r="X24" s="1"/>
    </row>
    <row r="25" spans="1:24" ht="12">
      <c r="A25" s="16" t="s">
        <v>53</v>
      </c>
      <c r="B25" s="30">
        <f>B16*B10*(1/2000)*B32</f>
        <v>552.572131512233</v>
      </c>
      <c r="C25" s="30">
        <f>C16*C10*(1/2000)*C32</f>
        <v>533.2339615364555</v>
      </c>
      <c r="D25" s="30">
        <f>D16*D10*(1/2000)*D32</f>
        <v>552.572131512233</v>
      </c>
      <c r="E25" s="30">
        <f>E16*E10*(1/2000)*E32</f>
        <v>533.2339615364555</v>
      </c>
      <c r="F25" s="65" t="s">
        <v>204</v>
      </c>
      <c r="G25" s="1"/>
      <c r="H25" s="1"/>
      <c r="I25" s="1"/>
      <c r="J25" s="1"/>
      <c r="K25" s="1"/>
      <c r="L25" s="1"/>
      <c r="M25" s="1"/>
      <c r="N25" s="1"/>
      <c r="O25" s="1"/>
      <c r="P25" s="1"/>
      <c r="Q25" s="1"/>
      <c r="R25" s="1"/>
      <c r="S25" s="1"/>
      <c r="T25" s="1"/>
      <c r="U25" s="1"/>
      <c r="V25" s="1"/>
      <c r="W25" s="1"/>
      <c r="X25" s="1"/>
    </row>
    <row r="26" spans="1:24" ht="12">
      <c r="A26" s="16" t="s">
        <v>51</v>
      </c>
      <c r="B26" s="30">
        <f>B17*B10*(1/2000)*B32</f>
        <v>728.5016904032886</v>
      </c>
      <c r="C26" s="30">
        <f>C17*C10*(1/2000)*C32</f>
        <v>706.2291967079846</v>
      </c>
      <c r="D26" s="30">
        <f>D17*D10*(1/2000)*D32</f>
        <v>731.6810058367803</v>
      </c>
      <c r="E26" s="30">
        <f>E17*E10*(1/2000)*E32</f>
        <v>706.24479853659</v>
      </c>
      <c r="F26" s="65" t="s">
        <v>203</v>
      </c>
      <c r="G26" s="1"/>
      <c r="H26" s="1"/>
      <c r="I26" s="1"/>
      <c r="J26" s="1"/>
      <c r="K26" s="1"/>
      <c r="L26" s="1"/>
      <c r="M26" s="1"/>
      <c r="N26" s="1"/>
      <c r="O26" s="1"/>
      <c r="P26" s="1"/>
      <c r="Q26" s="1"/>
      <c r="R26" s="1"/>
      <c r="S26" s="1"/>
      <c r="T26" s="1"/>
      <c r="U26" s="1"/>
      <c r="V26" s="1"/>
      <c r="W26" s="1"/>
      <c r="X26" s="1"/>
    </row>
    <row r="27" spans="1:24" ht="12">
      <c r="A27" s="16" t="s">
        <v>63</v>
      </c>
      <c r="B27" s="57">
        <f>B18*B10*(1/2000)*B32</f>
        <v>83.83420363901678</v>
      </c>
      <c r="C27" s="57">
        <f>C18*C10*(1/2000)*C32</f>
        <v>84.12290824878669</v>
      </c>
      <c r="D27" s="57">
        <f>D18*D10*(1/2000)*D32</f>
        <v>87.01351907250832</v>
      </c>
      <c r="E27" s="57">
        <f>E18*E10*(1/2000)*E32</f>
        <v>84.13851007739206</v>
      </c>
      <c r="F27" s="65" t="s">
        <v>205</v>
      </c>
      <c r="G27" s="1"/>
      <c r="H27" s="1"/>
      <c r="I27" s="1"/>
      <c r="J27" s="1"/>
      <c r="K27" s="1"/>
      <c r="L27" s="1"/>
      <c r="M27" s="1"/>
      <c r="N27" s="1"/>
      <c r="O27" s="1"/>
      <c r="P27" s="1"/>
      <c r="Q27" s="1"/>
      <c r="R27" s="1"/>
      <c r="S27" s="1"/>
      <c r="T27" s="1"/>
      <c r="U27" s="1"/>
      <c r="V27" s="1"/>
      <c r="W27" s="1"/>
      <c r="X27" s="1"/>
    </row>
    <row r="28" spans="1:24" ht="12">
      <c r="A28" s="16" t="s">
        <v>64</v>
      </c>
      <c r="B28" s="30">
        <f>B19*B12*(1/2000)*B32</f>
        <v>520.3127226569579</v>
      </c>
      <c r="C28" s="30">
        <f>C19*C12*(1/2000)*C32</f>
        <v>502.1035237171502</v>
      </c>
      <c r="D28" s="30">
        <f>D19*D12*(1/2000)*D32</f>
        <v>520.3127226569579</v>
      </c>
      <c r="E28" s="30">
        <f>E19*E12*(1/2000)*E32</f>
        <v>502.1035237171502</v>
      </c>
      <c r="F28" s="65" t="s">
        <v>206</v>
      </c>
      <c r="G28" s="1"/>
      <c r="H28" s="1"/>
      <c r="I28" s="1"/>
      <c r="J28" s="1"/>
      <c r="K28" s="1"/>
      <c r="L28" s="1"/>
      <c r="M28" s="1"/>
      <c r="N28" s="1"/>
      <c r="O28" s="1"/>
      <c r="P28" s="1"/>
      <c r="Q28" s="1"/>
      <c r="R28" s="1"/>
      <c r="S28" s="1"/>
      <c r="T28" s="1"/>
      <c r="U28" s="1"/>
      <c r="V28" s="1"/>
      <c r="W28" s="1"/>
      <c r="X28" s="1"/>
    </row>
    <row r="29" spans="1:24" ht="12">
      <c r="A29" s="16" t="s">
        <v>67</v>
      </c>
      <c r="B29" s="30">
        <f>B20*B12*(1/2000)*B32</f>
        <v>62.43752671883495</v>
      </c>
      <c r="C29" s="30">
        <f>C20*C12*(1/2000)*C32</f>
        <v>60.252422846058025</v>
      </c>
      <c r="D29" s="30">
        <f>D20*D12*(1/2000)*D32</f>
        <v>62.43752671883495</v>
      </c>
      <c r="E29" s="30">
        <f>E20*E12*(1/2000)*E32</f>
        <v>60.252422846058025</v>
      </c>
      <c r="F29" s="65" t="s">
        <v>207</v>
      </c>
      <c r="G29" s="1"/>
      <c r="H29" s="1"/>
      <c r="I29" s="1"/>
      <c r="J29" s="1"/>
      <c r="K29" s="1"/>
      <c r="L29" s="1"/>
      <c r="M29" s="1"/>
      <c r="N29" s="1"/>
      <c r="O29" s="1"/>
      <c r="P29" s="1"/>
      <c r="Q29" s="1"/>
      <c r="R29" s="1"/>
      <c r="S29" s="1"/>
      <c r="T29" s="1"/>
      <c r="U29" s="1"/>
      <c r="V29" s="1"/>
      <c r="W29" s="1"/>
      <c r="X29" s="1"/>
    </row>
    <row r="30" spans="1:24" ht="12">
      <c r="A30" s="45" t="s">
        <v>71</v>
      </c>
      <c r="B30" s="82">
        <f>B21*B10*(1/2000)*B32</f>
        <v>0.1528782897183845</v>
      </c>
      <c r="C30" s="82">
        <f>C21*C10*(1/2000)*C32</f>
        <v>0.1475280626917527</v>
      </c>
      <c r="D30" s="82">
        <f>D21*D10*(1/2000)*D32</f>
        <v>0.1528782897183845</v>
      </c>
      <c r="E30" s="82">
        <f>E21*E10*(1/2000)*E32</f>
        <v>0.1475280626917527</v>
      </c>
      <c r="F30" s="69" t="s">
        <v>211</v>
      </c>
      <c r="G30" s="1"/>
      <c r="H30" s="1"/>
      <c r="I30" s="1"/>
      <c r="J30" s="1"/>
      <c r="K30" s="1"/>
      <c r="L30" s="1"/>
      <c r="M30" s="1"/>
      <c r="N30" s="1"/>
      <c r="O30" s="1"/>
      <c r="P30" s="1"/>
      <c r="Q30" s="1"/>
      <c r="R30" s="1"/>
      <c r="S30" s="1"/>
      <c r="T30" s="1"/>
      <c r="U30" s="1"/>
      <c r="V30" s="1"/>
      <c r="W30" s="1"/>
      <c r="X30" s="1"/>
    </row>
    <row r="31" spans="1:24" ht="12">
      <c r="A31" s="80" t="s">
        <v>9</v>
      </c>
      <c r="B31" s="83"/>
      <c r="C31" s="83"/>
      <c r="D31" s="83"/>
      <c r="E31" s="83"/>
      <c r="F31" s="81"/>
      <c r="G31" s="1"/>
      <c r="H31" s="1"/>
      <c r="I31" s="1"/>
      <c r="J31" s="1"/>
      <c r="K31" s="1"/>
      <c r="L31" s="1"/>
      <c r="M31" s="1"/>
      <c r="N31" s="1"/>
      <c r="O31" s="1"/>
      <c r="P31" s="1"/>
      <c r="Q31" s="1"/>
      <c r="R31" s="1"/>
      <c r="S31" s="1"/>
      <c r="T31" s="1"/>
      <c r="U31" s="1"/>
      <c r="V31" s="1"/>
      <c r="W31" s="1"/>
      <c r="X31" s="1"/>
    </row>
    <row r="32" spans="1:24" ht="12">
      <c r="A32" s="37" t="s">
        <v>10</v>
      </c>
      <c r="B32" s="84">
        <f>0.913/(10815/10556)</f>
        <v>0.8911352750809062</v>
      </c>
      <c r="C32" s="84">
        <f>0.913/(10997/10358)</f>
        <v>0.8599485314176595</v>
      </c>
      <c r="D32" s="84">
        <f>0.913/(10815/10556)</f>
        <v>0.8911352750809062</v>
      </c>
      <c r="E32" s="84">
        <f>0.913/(10997/10358)</f>
        <v>0.8599485314176595</v>
      </c>
      <c r="F32" s="71" t="s">
        <v>154</v>
      </c>
      <c r="G32" s="1"/>
      <c r="H32" s="1"/>
      <c r="I32" s="1"/>
      <c r="J32" s="1"/>
      <c r="K32" s="1"/>
      <c r="L32" s="1"/>
      <c r="M32" s="1"/>
      <c r="N32" s="1"/>
      <c r="O32" s="1"/>
      <c r="P32" s="1"/>
      <c r="Q32" s="1"/>
      <c r="R32" s="1"/>
      <c r="S32" s="1"/>
      <c r="T32" s="1"/>
      <c r="U32" s="1"/>
      <c r="V32" s="1"/>
      <c r="W32" s="1"/>
      <c r="X32" s="1"/>
    </row>
    <row r="33" spans="1:24" ht="12">
      <c r="A33" s="65"/>
      <c r="B33" s="65"/>
      <c r="C33" s="65"/>
      <c r="D33" s="65"/>
      <c r="E33" s="65"/>
      <c r="F33" s="65"/>
      <c r="G33" s="1"/>
      <c r="H33" s="1"/>
      <c r="I33" s="1"/>
      <c r="J33" s="1"/>
      <c r="K33" s="1"/>
      <c r="L33" s="1"/>
      <c r="M33" s="1"/>
      <c r="N33" s="1"/>
      <c r="O33" s="1"/>
      <c r="P33" s="1"/>
      <c r="Q33" s="1"/>
      <c r="R33" s="1"/>
      <c r="S33" s="1"/>
      <c r="T33" s="1"/>
      <c r="U33" s="1"/>
      <c r="V33" s="1"/>
      <c r="W33" s="1"/>
      <c r="X33" s="1"/>
    </row>
    <row r="34" spans="6:24" ht="12">
      <c r="F34" s="1"/>
      <c r="G34" s="1"/>
      <c r="H34" s="1"/>
      <c r="I34" s="1"/>
      <c r="J34" s="1"/>
      <c r="K34" s="1"/>
      <c r="L34" s="1"/>
      <c r="M34" s="1"/>
      <c r="N34" s="1"/>
      <c r="O34" s="1"/>
      <c r="P34" s="1"/>
      <c r="Q34" s="1"/>
      <c r="R34" s="1"/>
      <c r="S34" s="1"/>
      <c r="T34" s="1"/>
      <c r="U34" s="1"/>
      <c r="V34" s="1"/>
      <c r="W34" s="1"/>
      <c r="X34" s="1"/>
    </row>
    <row r="35" spans="6:24" ht="12">
      <c r="F35" s="1"/>
      <c r="G35" s="1"/>
      <c r="H35" s="1"/>
      <c r="I35" s="1"/>
      <c r="J35" s="1"/>
      <c r="K35" s="1"/>
      <c r="L35" s="1"/>
      <c r="M35" s="1"/>
      <c r="N35" s="1"/>
      <c r="O35" s="1"/>
      <c r="P35" s="1"/>
      <c r="Q35" s="1"/>
      <c r="R35" s="1"/>
      <c r="S35" s="1"/>
      <c r="T35" s="1"/>
      <c r="U35" s="1"/>
      <c r="V35" s="1"/>
      <c r="W35" s="1"/>
      <c r="X35" s="1"/>
    </row>
  </sheetData>
  <sheetProtection/>
  <mergeCells count="6">
    <mergeCell ref="B4:C4"/>
    <mergeCell ref="D4:E4"/>
    <mergeCell ref="E5:E6"/>
    <mergeCell ref="D5:D6"/>
    <mergeCell ref="C5:C6"/>
    <mergeCell ref="B5:B6"/>
  </mergeCells>
  <printOptions/>
  <pageMargins left="0.43" right="0.46" top="1" bottom="1" header="0.5" footer="0.5"/>
  <pageSetup fitToHeight="1" fitToWidth="1" horizontalDpi="600" verticalDpi="600" orientation="landscape" scale="81"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H26"/>
  <sheetViews>
    <sheetView zoomScalePageLayoutView="0" workbookViewId="0" topLeftCell="A1">
      <selection activeCell="E6" sqref="E6"/>
    </sheetView>
  </sheetViews>
  <sheetFormatPr defaultColWidth="9.140625" defaultRowHeight="12"/>
  <cols>
    <col min="1" max="1" width="12.140625" style="4" customWidth="1"/>
    <col min="2" max="2" width="12.140625" style="5" customWidth="1"/>
    <col min="3" max="3" width="10.00390625" style="4" customWidth="1"/>
    <col min="4" max="4" width="15.140625" style="4" customWidth="1"/>
    <col min="5" max="5" width="15.8515625" style="4" customWidth="1"/>
    <col min="6" max="6" width="10.8515625" style="4" customWidth="1"/>
    <col min="7" max="7" width="10.00390625" style="4" customWidth="1"/>
    <col min="8" max="8" width="9.140625" style="4" customWidth="1"/>
    <col min="9" max="9" width="13.8515625" style="4" customWidth="1"/>
    <col min="10" max="16384" width="9.00390625" style="4" customWidth="1"/>
  </cols>
  <sheetData>
    <row r="1" spans="1:2" s="6" customFormat="1" ht="12">
      <c r="A1" s="35" t="s">
        <v>448</v>
      </c>
      <c r="B1" s="9"/>
    </row>
    <row r="2" spans="1:2" ht="12.75">
      <c r="A2" s="10" t="s">
        <v>277</v>
      </c>
      <c r="B2" s="10"/>
    </row>
    <row r="3" spans="1:2" ht="18" customHeight="1">
      <c r="A3" s="11" t="s">
        <v>37</v>
      </c>
      <c r="B3" s="11"/>
    </row>
    <row r="4" spans="1:7" ht="76.5" customHeight="1">
      <c r="A4" s="138" t="s">
        <v>11</v>
      </c>
      <c r="B4" s="83" t="s">
        <v>28</v>
      </c>
      <c r="C4" s="139" t="s">
        <v>150</v>
      </c>
      <c r="D4" s="139" t="s">
        <v>151</v>
      </c>
      <c r="E4" s="139" t="s">
        <v>160</v>
      </c>
      <c r="F4" s="139" t="s">
        <v>152</v>
      </c>
      <c r="G4" s="139" t="s">
        <v>153</v>
      </c>
    </row>
    <row r="5" spans="1:8" ht="15" customHeight="1">
      <c r="A5" s="12" t="s">
        <v>8</v>
      </c>
      <c r="B5" s="12" t="s">
        <v>17</v>
      </c>
      <c r="C5" s="14">
        <f>('Baseline Actual Emissions'!B$32+'Baseline Actual Emissions'!D$32)/2</f>
        <v>519.5706359999999</v>
      </c>
      <c r="D5" s="14" t="e">
        <f>('Emission Projections'!B$9+'Emission Projections'!#REF!)/2</f>
        <v>#REF!</v>
      </c>
      <c r="E5" s="14">
        <f>('Adjustment Projections'!B$25+'Adjustment Projections'!D$25)/2</f>
        <v>552.572131512233</v>
      </c>
      <c r="F5" s="14">
        <f>MAX(0,E5-C5)</f>
        <v>33.00149551223308</v>
      </c>
      <c r="G5" s="14" t="e">
        <f>MAX(0,D5-C5-F5)</f>
        <v>#REF!</v>
      </c>
      <c r="H5" s="92"/>
    </row>
    <row r="6" spans="1:7" ht="15" customHeight="1">
      <c r="A6" s="12" t="s">
        <v>8</v>
      </c>
      <c r="B6" s="12" t="s">
        <v>18</v>
      </c>
      <c r="C6" s="14">
        <f>('Baseline Actual Emissions'!C$32+'Baseline Actual Emissions'!E$32)/2</f>
        <v>447.7949152499999</v>
      </c>
      <c r="D6" s="14" t="e">
        <f>('Emission Projections'!C$9+'Emission Projections'!#REF!)/2</f>
        <v>#REF!</v>
      </c>
      <c r="E6" s="14">
        <f>('Adjustment Projections'!C$25+'Adjustment Projections'!E$25)/2</f>
        <v>533.2339615364555</v>
      </c>
      <c r="F6" s="14">
        <f aca="true" t="shared" si="0" ref="F6:F18">MAX(0,E6-C6)</f>
        <v>85.43904628645555</v>
      </c>
      <c r="G6" s="14" t="e">
        <f aca="true" t="shared" si="1" ref="G6:G18">MAX(0,D6-C6-F6)</f>
        <v>#REF!</v>
      </c>
    </row>
    <row r="7" spans="1:8" ht="15" customHeight="1">
      <c r="A7" s="12" t="s">
        <v>15</v>
      </c>
      <c r="B7" s="12" t="s">
        <v>17</v>
      </c>
      <c r="C7" s="14">
        <f>('Baseline Actual Emissions'!B41+'Baseline Actual Emissions'!D41)/2</f>
        <v>685.0360236601064</v>
      </c>
      <c r="D7" s="14" t="e">
        <f>('Emission Projections'!B$10+'Emission Projections'!#REF!)/2</f>
        <v>#REF!</v>
      </c>
      <c r="E7" s="14">
        <f>('Adjustment Projections'!B$26+'Adjustment Projections'!D$26)/2</f>
        <v>730.0913481200345</v>
      </c>
      <c r="F7" s="14">
        <f t="shared" si="0"/>
        <v>45.0553244599281</v>
      </c>
      <c r="G7" s="14" t="e">
        <f t="shared" si="1"/>
        <v>#REF!</v>
      </c>
      <c r="H7" s="92"/>
    </row>
    <row r="8" spans="1:8" ht="15" customHeight="1">
      <c r="A8" s="12" t="s">
        <v>15</v>
      </c>
      <c r="B8" s="12" t="s">
        <v>18</v>
      </c>
      <c r="C8" s="14">
        <f>('Baseline Actual Emissions'!C41+'Baseline Actual Emissions'!E41)/2</f>
        <v>593.0709825100313</v>
      </c>
      <c r="D8" s="14" t="e">
        <f>('Emission Projections'!C$10+'Emission Projections'!#REF!)/2</f>
        <v>#REF!</v>
      </c>
      <c r="E8" s="14">
        <f>('Adjustment Projections'!C$26+'Adjustment Projections'!E$26)/2</f>
        <v>706.2369976222873</v>
      </c>
      <c r="F8" s="14">
        <f t="shared" si="0"/>
        <v>113.16601511225599</v>
      </c>
      <c r="G8" s="14" t="e">
        <f t="shared" si="1"/>
        <v>#REF!</v>
      </c>
      <c r="H8" s="6"/>
    </row>
    <row r="9" spans="1:8" ht="15" customHeight="1">
      <c r="A9" s="12" t="s">
        <v>12</v>
      </c>
      <c r="B9" s="12" t="s">
        <v>17</v>
      </c>
      <c r="C9" s="14">
        <f>('Baseline Actual Emissions'!B$56+'Baseline Actual Emissions'!D$56)/2</f>
        <v>50.144625</v>
      </c>
      <c r="D9" s="14" t="e">
        <f>('Emission Projections'!B$13+'Emission Projections'!#REF!)/2</f>
        <v>#REF!</v>
      </c>
      <c r="E9" s="14">
        <f>('Adjustment Projections'!B$29+'Adjustment Projections'!D$29)/2</f>
        <v>62.43752671883495</v>
      </c>
      <c r="F9" s="14">
        <f t="shared" si="0"/>
        <v>12.292901718834955</v>
      </c>
      <c r="G9" s="14" t="e">
        <f t="shared" si="1"/>
        <v>#REF!</v>
      </c>
      <c r="H9" s="92"/>
    </row>
    <row r="10" spans="1:8" ht="15" customHeight="1">
      <c r="A10" s="12" t="s">
        <v>12</v>
      </c>
      <c r="B10" s="12" t="s">
        <v>18</v>
      </c>
      <c r="C10" s="14">
        <f>('Baseline Actual Emissions'!C$56+'Baseline Actual Emissions'!E$56)/2</f>
        <v>49.15245</v>
      </c>
      <c r="D10" s="14" t="e">
        <f>('Emission Projections'!C$13+'Emission Projections'!#REF!)/2</f>
        <v>#REF!</v>
      </c>
      <c r="E10" s="14">
        <f>('Adjustment Projections'!B$29+'Adjustment Projections'!D$29)/2</f>
        <v>62.43752671883495</v>
      </c>
      <c r="F10" s="14">
        <f t="shared" si="0"/>
        <v>13.28507671883495</v>
      </c>
      <c r="G10" s="14" t="e">
        <f t="shared" si="1"/>
        <v>#REF!</v>
      </c>
      <c r="H10" s="6"/>
    </row>
    <row r="11" spans="1:8" ht="15" customHeight="1">
      <c r="A11" s="12" t="s">
        <v>14</v>
      </c>
      <c r="B11" s="12" t="s">
        <v>17</v>
      </c>
      <c r="C11" s="14">
        <f>('Baseline Actual Emissions'!B$53+'Baseline Actual Emissions'!D$53)/2</f>
        <v>417.871875</v>
      </c>
      <c r="D11" s="14" t="e">
        <f>('Emission Projections'!B$12+'Emission Projections'!#REF!)/2</f>
        <v>#REF!</v>
      </c>
      <c r="E11" s="14">
        <f>('Adjustment Projections'!B$28+'Adjustment Projections'!D$28)/2</f>
        <v>520.3127226569579</v>
      </c>
      <c r="F11" s="14">
        <f t="shared" si="0"/>
        <v>102.44084765695794</v>
      </c>
      <c r="G11" s="14" t="e">
        <f>MAX(0,D11-C11-F11)</f>
        <v>#REF!</v>
      </c>
      <c r="H11" s="92"/>
    </row>
    <row r="12" spans="1:8" ht="15" customHeight="1">
      <c r="A12" s="12" t="s">
        <v>14</v>
      </c>
      <c r="B12" s="12" t="s">
        <v>18</v>
      </c>
      <c r="C12" s="14">
        <f>('Baseline Actual Emissions'!C$53+'Baseline Actual Emissions'!E$53)/2</f>
        <v>409.60375</v>
      </c>
      <c r="D12" s="14" t="e">
        <f>('Emission Projections'!C$12+'Emission Projections'!#REF!)/2</f>
        <v>#REF!</v>
      </c>
      <c r="E12" s="14">
        <f>('Adjustment Projections'!C$28+'Adjustment Projections'!E$28)/2</f>
        <v>502.1035237171502</v>
      </c>
      <c r="F12" s="14">
        <f t="shared" si="0"/>
        <v>92.49977371715022</v>
      </c>
      <c r="G12" s="14" t="e">
        <f t="shared" si="1"/>
        <v>#REF!</v>
      </c>
      <c r="H12" s="6"/>
    </row>
    <row r="13" spans="1:8" ht="15" customHeight="1">
      <c r="A13" s="12" t="s">
        <v>16</v>
      </c>
      <c r="B13" s="12" t="s">
        <v>17</v>
      </c>
      <c r="C13" s="14">
        <f>('Baseline Actual Emissions'!B$29+'Baseline Actual Emissions'!D$29)/2</f>
        <v>6551.05</v>
      </c>
      <c r="D13" s="14" t="e">
        <f>('Emission Projections'!B$8+'Emission Projections'!#REF!)/2</f>
        <v>#REF!</v>
      </c>
      <c r="E13" s="14">
        <v>0</v>
      </c>
      <c r="F13" s="14">
        <f t="shared" si="0"/>
        <v>0</v>
      </c>
      <c r="G13" s="14" t="e">
        <f>MAX(0,D13-C13-F13)</f>
        <v>#REF!</v>
      </c>
      <c r="H13" s="6"/>
    </row>
    <row r="14" spans="1:8" ht="15" customHeight="1">
      <c r="A14" s="12" t="s">
        <v>16</v>
      </c>
      <c r="B14" s="12" t="s">
        <v>18</v>
      </c>
      <c r="C14" s="14">
        <f>('Baseline Actual Emissions'!C$29+'Baseline Actual Emissions'!E$29)/2</f>
        <v>5444.9</v>
      </c>
      <c r="D14" s="14" t="e">
        <f>('Emission Projections'!C$8+'Emission Projections'!#REF!)/2</f>
        <v>#REF!</v>
      </c>
      <c r="E14" s="14">
        <v>0</v>
      </c>
      <c r="F14" s="14">
        <f t="shared" si="0"/>
        <v>0</v>
      </c>
      <c r="G14" s="14" t="e">
        <f t="shared" si="1"/>
        <v>#REF!</v>
      </c>
      <c r="H14" s="6"/>
    </row>
    <row r="15" spans="1:8" ht="15" customHeight="1">
      <c r="A15" s="12" t="s">
        <v>13</v>
      </c>
      <c r="B15" s="12" t="s">
        <v>17</v>
      </c>
      <c r="C15" s="14">
        <f>('Baseline Actual Emissions'!B$26+'Baseline Actual Emissions'!D$26)/2</f>
        <v>6903.07464305</v>
      </c>
      <c r="D15" s="14" t="e">
        <f>('Emission Projections'!B$7+'Emission Projections'!#REF!)/2</f>
        <v>#REF!</v>
      </c>
      <c r="E15" s="14">
        <v>0</v>
      </c>
      <c r="F15" s="14">
        <f t="shared" si="0"/>
        <v>0</v>
      </c>
      <c r="G15" s="14" t="e">
        <f t="shared" si="1"/>
        <v>#REF!</v>
      </c>
      <c r="H15" s="6"/>
    </row>
    <row r="16" spans="1:8" ht="15" customHeight="1">
      <c r="A16" s="12" t="s">
        <v>13</v>
      </c>
      <c r="B16" s="12" t="s">
        <v>18</v>
      </c>
      <c r="C16" s="14">
        <f>('Baseline Actual Emissions'!C$26+'Baseline Actual Emissions'!E$26)/2</f>
        <v>6398.98650895</v>
      </c>
      <c r="D16" s="14" t="e">
        <f>('Emission Projections'!C$7+'Emission Projections'!#REF!)/2</f>
        <v>#REF!</v>
      </c>
      <c r="E16" s="14">
        <v>0</v>
      </c>
      <c r="F16" s="14">
        <f t="shared" si="0"/>
        <v>0</v>
      </c>
      <c r="G16" s="14" t="e">
        <f t="shared" si="1"/>
        <v>#REF!</v>
      </c>
      <c r="H16" s="6"/>
    </row>
    <row r="17" spans="1:8" ht="15" customHeight="1">
      <c r="A17" s="88" t="s">
        <v>6</v>
      </c>
      <c r="B17" s="88" t="s">
        <v>17</v>
      </c>
      <c r="C17" s="89">
        <f>('Baseline Actual Emissions'!B$50+'Baseline Actual Emissions'!D$50)/2</f>
        <v>77.95942202764198</v>
      </c>
      <c r="D17" s="89" t="e">
        <f>('Emission Projections'!B$11+'Emission Projections'!#REF!)/2</f>
        <v>#REF!</v>
      </c>
      <c r="E17" s="89">
        <f>('Adjustment Projections'!B$27+'Adjustment Projections'!D$27)/2</f>
        <v>85.42386135576254</v>
      </c>
      <c r="F17" s="89">
        <f t="shared" si="0"/>
        <v>7.464439328120562</v>
      </c>
      <c r="G17" s="89" t="e">
        <f>MAX(0,D17-C17-F17)</f>
        <v>#REF!</v>
      </c>
      <c r="H17" s="92"/>
    </row>
    <row r="18" spans="1:8" ht="15" customHeight="1">
      <c r="A18" s="88" t="s">
        <v>6</v>
      </c>
      <c r="B18" s="88" t="s">
        <v>18</v>
      </c>
      <c r="C18" s="89">
        <f>('Baseline Actual Emissions'!C$50+'Baseline Actual Emissions'!E$50)/2</f>
        <v>73.39810960685014</v>
      </c>
      <c r="D18" s="89" t="e">
        <f>('Emission Projections'!C$11+'Emission Projections'!#REF!)/2</f>
        <v>#REF!</v>
      </c>
      <c r="E18" s="89">
        <f>('Adjustment Projections'!C$27+'Adjustment Projections'!E$27)/2</f>
        <v>84.13070916308936</v>
      </c>
      <c r="F18" s="89">
        <f t="shared" si="0"/>
        <v>10.732599556239222</v>
      </c>
      <c r="G18" s="89" t="e">
        <f t="shared" si="1"/>
        <v>#REF!</v>
      </c>
      <c r="H18" s="32"/>
    </row>
    <row r="19" spans="1:8" ht="15" customHeight="1">
      <c r="A19" s="12" t="s">
        <v>212</v>
      </c>
      <c r="B19" s="12" t="s">
        <v>17</v>
      </c>
      <c r="C19" s="90">
        <f>('Baseline Actual Emissions'!B62+'Baseline Actual Emissions'!D62)/2</f>
        <v>0.14374787596</v>
      </c>
      <c r="D19" s="90" t="e">
        <f>('Emission Projections'!B14+'Emission Projections'!#REF!)/2</f>
        <v>#REF!</v>
      </c>
      <c r="E19" s="90">
        <f>('Adjustment Projections'!B30+'Adjustment Projections'!D30)/2</f>
        <v>0.1528782897183845</v>
      </c>
      <c r="F19" s="90">
        <f>MAX(0,E19-C19)</f>
        <v>0.009130413758384498</v>
      </c>
      <c r="G19" s="14" t="e">
        <f>MAX(0,D19-C19-F19)</f>
        <v>#REF!</v>
      </c>
      <c r="H19" s="6"/>
    </row>
    <row r="20" spans="1:8" ht="15" customHeight="1">
      <c r="A20" s="13" t="s">
        <v>212</v>
      </c>
      <c r="B20" s="13" t="s">
        <v>18</v>
      </c>
      <c r="C20" s="91">
        <f>('Baseline Actual Emissions'!C62+'Baseline Actual Emissions'!E62)/2</f>
        <v>0.1238899265525</v>
      </c>
      <c r="D20" s="91" t="e">
        <f>('Emission Projections'!C14+'Emission Projections'!#REF!)/2</f>
        <v>#REF!</v>
      </c>
      <c r="E20" s="91">
        <f>('Adjustment Projections'!C30+'Adjustment Projections'!E30)/2</f>
        <v>0.1475280626917527</v>
      </c>
      <c r="F20" s="91">
        <f>MAX(0,E20-C20)</f>
        <v>0.023638136139252697</v>
      </c>
      <c r="G20" s="15" t="e">
        <f>MAX(0,D20-C20-F20)</f>
        <v>#REF!</v>
      </c>
      <c r="H20" s="6"/>
    </row>
    <row r="21" spans="1:8" ht="12">
      <c r="A21" s="6"/>
      <c r="B21" s="7"/>
      <c r="C21" s="6"/>
      <c r="D21" s="6"/>
      <c r="E21" s="6"/>
      <c r="F21" s="6"/>
      <c r="G21" s="6"/>
      <c r="H21" s="6"/>
    </row>
    <row r="22" spans="1:8" ht="12">
      <c r="A22" s="50" t="s">
        <v>157</v>
      </c>
      <c r="B22" s="7"/>
      <c r="C22" s="6"/>
      <c r="D22" s="6"/>
      <c r="E22" s="6"/>
      <c r="F22" s="6"/>
      <c r="G22" s="6"/>
      <c r="H22" s="6"/>
    </row>
    <row r="23" spans="1:8" ht="12">
      <c r="A23" s="50" t="s">
        <v>156</v>
      </c>
      <c r="B23" s="7"/>
      <c r="C23" s="6"/>
      <c r="D23" s="6"/>
      <c r="E23" s="6"/>
      <c r="F23" s="6"/>
      <c r="G23" s="6"/>
      <c r="H23" s="6"/>
    </row>
    <row r="24" ht="12">
      <c r="A24" s="54" t="s">
        <v>161</v>
      </c>
    </row>
    <row r="25" ht="12">
      <c r="A25" s="54" t="s">
        <v>158</v>
      </c>
    </row>
    <row r="26" ht="12">
      <c r="A26" s="54" t="s">
        <v>159</v>
      </c>
    </row>
  </sheetData>
  <sheetProtection/>
  <printOptions horizontalCentered="1"/>
  <pageMargins left="1" right="0.34" top="1" bottom="1" header="0.5" footer="0.5"/>
  <pageSetup fitToHeight="1"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AN87"/>
  <sheetViews>
    <sheetView zoomScalePageLayoutView="0" workbookViewId="0" topLeftCell="A1">
      <selection activeCell="A1" sqref="A1"/>
    </sheetView>
  </sheetViews>
  <sheetFormatPr defaultColWidth="9.140625" defaultRowHeight="12"/>
  <cols>
    <col min="2" max="2" width="17.8515625" style="0" bestFit="1" customWidth="1"/>
  </cols>
  <sheetData>
    <row r="1" spans="1:40" ht="12">
      <c r="A1" s="35" t="s">
        <v>449</v>
      </c>
      <c r="B1" s="58"/>
      <c r="C1" s="160"/>
      <c r="D1" s="160"/>
      <c r="E1" s="160"/>
      <c r="F1" s="160"/>
      <c r="G1" s="160"/>
      <c r="H1" s="160"/>
      <c r="I1" s="160"/>
      <c r="J1" s="160"/>
      <c r="K1" s="160"/>
      <c r="L1" s="160"/>
      <c r="M1" s="160"/>
      <c r="N1" s="160"/>
      <c r="O1" s="160"/>
      <c r="P1" s="160"/>
      <c r="Q1" s="160"/>
      <c r="R1" s="160"/>
      <c r="S1" s="160"/>
      <c r="T1" s="160"/>
      <c r="U1" s="160"/>
      <c r="V1" s="160"/>
      <c r="W1" s="160"/>
      <c r="X1" s="160"/>
      <c r="Y1" s="7"/>
      <c r="Z1" s="7"/>
      <c r="AA1" s="7"/>
      <c r="AB1" s="7"/>
      <c r="AC1" s="7"/>
      <c r="AD1" s="7"/>
      <c r="AE1" s="7"/>
      <c r="AF1" s="7"/>
      <c r="AG1" s="7"/>
      <c r="AH1" s="7"/>
      <c r="AI1" s="7"/>
      <c r="AJ1" s="7"/>
      <c r="AK1" s="7"/>
      <c r="AL1" s="7"/>
      <c r="AM1" s="7"/>
      <c r="AN1" s="7"/>
    </row>
    <row r="2" spans="1:40" ht="13.5">
      <c r="A2" s="59" t="s">
        <v>278</v>
      </c>
      <c r="B2" s="58"/>
      <c r="C2" s="160"/>
      <c r="D2" s="160"/>
      <c r="E2" s="160"/>
      <c r="F2" s="160"/>
      <c r="G2" s="160"/>
      <c r="H2" s="160"/>
      <c r="I2" s="160"/>
      <c r="J2" s="160"/>
      <c r="K2" s="160"/>
      <c r="L2" s="160"/>
      <c r="M2" s="160"/>
      <c r="N2" s="160"/>
      <c r="O2" s="160"/>
      <c r="P2" s="160"/>
      <c r="Q2" s="160"/>
      <c r="R2" s="160"/>
      <c r="S2" s="160"/>
      <c r="T2" s="160"/>
      <c r="U2" s="160"/>
      <c r="V2" s="160"/>
      <c r="W2" s="160"/>
      <c r="X2" s="160"/>
      <c r="Y2" s="7"/>
      <c r="Z2" s="7"/>
      <c r="AA2" s="7"/>
      <c r="AB2" s="7"/>
      <c r="AC2" s="7"/>
      <c r="AD2" s="7"/>
      <c r="AE2" s="7"/>
      <c r="AF2" s="7"/>
      <c r="AG2" s="7"/>
      <c r="AH2" s="7"/>
      <c r="AI2" s="7"/>
      <c r="AJ2" s="7"/>
      <c r="AK2" s="7"/>
      <c r="AL2" s="7"/>
      <c r="AM2" s="7"/>
      <c r="AN2" s="7"/>
    </row>
    <row r="3" spans="1:40" ht="13.5">
      <c r="A3" s="179" t="s">
        <v>37</v>
      </c>
      <c r="B3" s="58"/>
      <c r="C3" s="160"/>
      <c r="D3" s="160"/>
      <c r="E3" s="160"/>
      <c r="F3" s="160"/>
      <c r="G3" s="160"/>
      <c r="H3" s="160"/>
      <c r="I3" s="160"/>
      <c r="J3" s="160"/>
      <c r="K3" s="160"/>
      <c r="L3" s="160"/>
      <c r="M3" s="160"/>
      <c r="N3" s="160"/>
      <c r="O3" s="160"/>
      <c r="P3" s="160"/>
      <c r="Q3" s="160"/>
      <c r="R3" s="160"/>
      <c r="S3" s="160"/>
      <c r="T3" s="160"/>
      <c r="U3" s="160"/>
      <c r="V3" s="160"/>
      <c r="W3" s="160"/>
      <c r="X3" s="160"/>
      <c r="Y3" s="7"/>
      <c r="Z3" s="7"/>
      <c r="AA3" s="7"/>
      <c r="AB3" s="7"/>
      <c r="AC3" s="7"/>
      <c r="AD3" s="7"/>
      <c r="AE3" s="7"/>
      <c r="AF3" s="7"/>
      <c r="AG3" s="7"/>
      <c r="AH3" s="7"/>
      <c r="AI3" s="7"/>
      <c r="AJ3" s="7"/>
      <c r="AK3" s="7"/>
      <c r="AL3" s="7"/>
      <c r="AM3" s="7"/>
      <c r="AN3" s="7"/>
    </row>
    <row r="4" spans="1:40" ht="12">
      <c r="A4" s="9"/>
      <c r="B4" s="58"/>
      <c r="C4" s="160"/>
      <c r="D4" s="160"/>
      <c r="E4" s="160"/>
      <c r="F4" s="160"/>
      <c r="G4" s="160"/>
      <c r="H4" s="160"/>
      <c r="I4" s="160"/>
      <c r="J4" s="160"/>
      <c r="K4" s="160"/>
      <c r="L4" s="160"/>
      <c r="M4" s="160"/>
      <c r="N4" s="160"/>
      <c r="O4" s="160"/>
      <c r="P4" s="160"/>
      <c r="Q4" s="160"/>
      <c r="R4" s="160"/>
      <c r="S4" s="160"/>
      <c r="T4" s="160"/>
      <c r="U4" s="160"/>
      <c r="V4" s="160"/>
      <c r="W4" s="160"/>
      <c r="X4" s="160"/>
      <c r="Y4" s="7"/>
      <c r="Z4" s="7"/>
      <c r="AA4" s="7"/>
      <c r="AB4" s="7"/>
      <c r="AC4" s="7"/>
      <c r="AD4" s="7"/>
      <c r="AE4" s="7"/>
      <c r="AF4" s="7"/>
      <c r="AG4" s="7"/>
      <c r="AH4" s="7"/>
      <c r="AI4" s="7"/>
      <c r="AJ4" s="7"/>
      <c r="AK4" s="7"/>
      <c r="AL4" s="7"/>
      <c r="AM4" s="7"/>
      <c r="AN4" s="7"/>
    </row>
    <row r="5" spans="1:40" ht="12">
      <c r="A5" s="162" t="s">
        <v>313</v>
      </c>
      <c r="B5" s="58"/>
      <c r="C5" s="160">
        <v>0.736</v>
      </c>
      <c r="D5" s="160"/>
      <c r="E5" s="160"/>
      <c r="F5" s="160"/>
      <c r="G5" s="160"/>
      <c r="H5" s="160"/>
      <c r="I5" s="160"/>
      <c r="J5" s="160"/>
      <c r="K5" s="160"/>
      <c r="L5" s="160"/>
      <c r="M5" s="160"/>
      <c r="N5" s="160"/>
      <c r="O5" s="160"/>
      <c r="P5" s="160"/>
      <c r="Q5" s="160"/>
      <c r="R5" s="160"/>
      <c r="S5" s="160"/>
      <c r="T5" s="160"/>
      <c r="U5" s="160"/>
      <c r="V5" s="160"/>
      <c r="W5" s="160"/>
      <c r="X5" s="160"/>
      <c r="Y5" s="7"/>
      <c r="Z5" s="7"/>
      <c r="AA5" s="7"/>
      <c r="AB5" s="7"/>
      <c r="AC5" s="7"/>
      <c r="AD5" s="7"/>
      <c r="AE5" s="7"/>
      <c r="AF5" s="7"/>
      <c r="AG5" s="7"/>
      <c r="AH5" s="7"/>
      <c r="AI5" s="7"/>
      <c r="AJ5" s="7"/>
      <c r="AK5" s="7"/>
      <c r="AL5" s="7"/>
      <c r="AM5" s="7"/>
      <c r="AN5" s="7"/>
    </row>
    <row r="6" spans="1:40" ht="12">
      <c r="A6" s="162" t="s">
        <v>314</v>
      </c>
      <c r="B6" s="58"/>
      <c r="C6" s="160">
        <v>0.841</v>
      </c>
      <c r="D6" s="160"/>
      <c r="E6" s="160"/>
      <c r="F6" s="160"/>
      <c r="G6" s="160"/>
      <c r="H6" s="160"/>
      <c r="I6" s="160"/>
      <c r="J6" s="160"/>
      <c r="K6" s="160"/>
      <c r="L6" s="160"/>
      <c r="M6" s="160"/>
      <c r="N6" s="160"/>
      <c r="O6" s="160"/>
      <c r="P6" s="160"/>
      <c r="Q6" s="160"/>
      <c r="R6" s="160"/>
      <c r="S6" s="160"/>
      <c r="T6" s="160"/>
      <c r="U6" s="160"/>
      <c r="V6" s="160"/>
      <c r="W6" s="160"/>
      <c r="X6" s="160"/>
      <c r="Y6" s="7"/>
      <c r="Z6" s="7"/>
      <c r="AA6" s="7"/>
      <c r="AB6" s="7"/>
      <c r="AC6" s="7"/>
      <c r="AD6" s="7"/>
      <c r="AE6" s="7"/>
      <c r="AF6" s="7"/>
      <c r="AG6" s="7"/>
      <c r="AH6" s="7"/>
      <c r="AI6" s="7"/>
      <c r="AJ6" s="7"/>
      <c r="AK6" s="7"/>
      <c r="AL6" s="7"/>
      <c r="AM6" s="7"/>
      <c r="AN6" s="7"/>
    </row>
    <row r="7" spans="1:40" ht="12">
      <c r="A7" s="162" t="s">
        <v>315</v>
      </c>
      <c r="B7" s="58"/>
      <c r="C7" s="168">
        <v>0.84</v>
      </c>
      <c r="D7" s="160"/>
      <c r="E7" s="160"/>
      <c r="F7" s="160"/>
      <c r="G7" s="160"/>
      <c r="H7" s="160"/>
      <c r="I7" s="160"/>
      <c r="J7" s="160"/>
      <c r="K7" s="160"/>
      <c r="L7" s="160"/>
      <c r="M7" s="160"/>
      <c r="N7" s="160"/>
      <c r="O7" s="160"/>
      <c r="P7" s="160"/>
      <c r="Q7" s="160"/>
      <c r="R7" s="160"/>
      <c r="S7" s="160"/>
      <c r="T7" s="160"/>
      <c r="U7" s="160"/>
      <c r="V7" s="160"/>
      <c r="W7" s="160"/>
      <c r="X7" s="160"/>
      <c r="Y7" s="7"/>
      <c r="Z7" s="7"/>
      <c r="AA7" s="7"/>
      <c r="AB7" s="7"/>
      <c r="AC7" s="7"/>
      <c r="AD7" s="7"/>
      <c r="AE7" s="7"/>
      <c r="AF7" s="7"/>
      <c r="AG7" s="7"/>
      <c r="AH7" s="7"/>
      <c r="AI7" s="7"/>
      <c r="AJ7" s="7"/>
      <c r="AK7" s="7"/>
      <c r="AL7" s="7"/>
      <c r="AM7" s="7"/>
      <c r="AN7" s="7"/>
    </row>
    <row r="8" spans="1:40" ht="12">
      <c r="A8" s="162" t="s">
        <v>316</v>
      </c>
      <c r="B8" s="58"/>
      <c r="C8" s="160">
        <v>0.883</v>
      </c>
      <c r="D8" s="160"/>
      <c r="E8" s="160"/>
      <c r="F8" s="160"/>
      <c r="G8" s="160"/>
      <c r="H8" s="160"/>
      <c r="I8" s="160"/>
      <c r="J8" s="160"/>
      <c r="K8" s="160"/>
      <c r="L8" s="160"/>
      <c r="M8" s="160"/>
      <c r="N8" s="160"/>
      <c r="O8" s="160"/>
      <c r="P8" s="160"/>
      <c r="Q8" s="160"/>
      <c r="R8" s="160"/>
      <c r="S8" s="160"/>
      <c r="T8" s="160"/>
      <c r="U8" s="160"/>
      <c r="V8" s="160"/>
      <c r="W8" s="160"/>
      <c r="X8" s="160"/>
      <c r="Y8" s="7"/>
      <c r="Z8" s="7"/>
      <c r="AA8" s="7"/>
      <c r="AB8" s="7"/>
      <c r="AC8" s="7"/>
      <c r="AD8" s="7"/>
      <c r="AE8" s="7"/>
      <c r="AF8" s="7"/>
      <c r="AG8" s="7"/>
      <c r="AH8" s="7"/>
      <c r="AI8" s="7"/>
      <c r="AJ8" s="7"/>
      <c r="AK8" s="7"/>
      <c r="AL8" s="7"/>
      <c r="AM8" s="7"/>
      <c r="AN8" s="7"/>
    </row>
    <row r="9" spans="1:40" ht="12">
      <c r="A9" s="162" t="s">
        <v>317</v>
      </c>
      <c r="B9" s="58"/>
      <c r="C9" s="160">
        <v>0.856</v>
      </c>
      <c r="D9" s="160"/>
      <c r="E9" s="160"/>
      <c r="F9" s="160"/>
      <c r="G9" s="160"/>
      <c r="H9" s="160"/>
      <c r="I9" s="160"/>
      <c r="J9" s="160"/>
      <c r="K9" s="160"/>
      <c r="L9" s="160"/>
      <c r="M9" s="160"/>
      <c r="N9" s="160"/>
      <c r="O9" s="160"/>
      <c r="P9" s="160"/>
      <c r="Q9" s="160"/>
      <c r="R9" s="160"/>
      <c r="S9" s="160"/>
      <c r="T9" s="160"/>
      <c r="U9" s="160"/>
      <c r="V9" s="160"/>
      <c r="W9" s="160"/>
      <c r="X9" s="160"/>
      <c r="Y9" s="7"/>
      <c r="Z9" s="7"/>
      <c r="AA9" s="7"/>
      <c r="AB9" s="7"/>
      <c r="AC9" s="7"/>
      <c r="AD9" s="7"/>
      <c r="AE9" s="7"/>
      <c r="AF9" s="7"/>
      <c r="AG9" s="7"/>
      <c r="AH9" s="7"/>
      <c r="AI9" s="7"/>
      <c r="AJ9" s="7"/>
      <c r="AK9" s="7"/>
      <c r="AL9" s="7"/>
      <c r="AM9" s="7"/>
      <c r="AN9" s="7"/>
    </row>
    <row r="10" spans="1:40" ht="12">
      <c r="A10" s="58"/>
      <c r="B10" s="58"/>
      <c r="C10" s="160"/>
      <c r="D10" s="160"/>
      <c r="E10" s="160"/>
      <c r="F10" s="160"/>
      <c r="G10" s="160"/>
      <c r="H10" s="160"/>
      <c r="I10" s="160"/>
      <c r="J10" s="160"/>
      <c r="K10" s="160"/>
      <c r="L10" s="160"/>
      <c r="M10" s="160"/>
      <c r="N10" s="160"/>
      <c r="O10" s="160"/>
      <c r="P10" s="160"/>
      <c r="Q10" s="160"/>
      <c r="R10" s="160"/>
      <c r="S10" s="160"/>
      <c r="T10" s="160"/>
      <c r="U10" s="160"/>
      <c r="V10" s="160"/>
      <c r="W10" s="160"/>
      <c r="X10" s="160"/>
      <c r="Y10" s="7"/>
      <c r="Z10" s="7"/>
      <c r="AA10" s="7"/>
      <c r="AB10" s="7"/>
      <c r="AC10" s="7"/>
      <c r="AD10" s="7"/>
      <c r="AE10" s="7"/>
      <c r="AF10" s="7"/>
      <c r="AG10" s="7"/>
      <c r="AH10" s="7"/>
      <c r="AI10" s="7"/>
      <c r="AJ10" s="7"/>
      <c r="AK10" s="7"/>
      <c r="AL10" s="7"/>
      <c r="AM10" s="7"/>
      <c r="AN10" s="7"/>
    </row>
    <row r="11" spans="1:40" ht="12">
      <c r="A11" s="372" t="s">
        <v>310</v>
      </c>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42"/>
    </row>
    <row r="12" spans="1:40" ht="12">
      <c r="A12" s="169"/>
      <c r="B12" s="170"/>
      <c r="C12" s="93"/>
      <c r="D12" s="93"/>
      <c r="E12" s="170"/>
      <c r="F12" s="170"/>
      <c r="G12" s="170"/>
      <c r="H12" s="170"/>
      <c r="I12" s="170"/>
      <c r="J12" s="170"/>
      <c r="K12" s="170"/>
      <c r="L12" s="170"/>
      <c r="M12" s="170"/>
      <c r="N12" s="170"/>
      <c r="O12" s="170"/>
      <c r="P12" s="170"/>
      <c r="Q12" s="170"/>
      <c r="R12" s="170"/>
      <c r="S12" s="170"/>
      <c r="T12" s="170"/>
      <c r="U12" s="340">
        <v>2002</v>
      </c>
      <c r="V12" s="340"/>
      <c r="W12" s="340"/>
      <c r="X12" s="340"/>
      <c r="Y12" s="341">
        <v>2003</v>
      </c>
      <c r="Z12" s="341"/>
      <c r="AA12" s="341"/>
      <c r="AB12" s="335"/>
      <c r="AC12" s="341">
        <v>2004</v>
      </c>
      <c r="AD12" s="341"/>
      <c r="AE12" s="341"/>
      <c r="AF12" s="335"/>
      <c r="AG12" s="341">
        <v>2005</v>
      </c>
      <c r="AH12" s="341"/>
      <c r="AI12" s="341"/>
      <c r="AJ12" s="335"/>
      <c r="AK12" s="341">
        <v>2006</v>
      </c>
      <c r="AL12" s="341"/>
      <c r="AM12" s="341"/>
      <c r="AN12" s="335"/>
    </row>
    <row r="13" spans="1:40" ht="13.5">
      <c r="A13" s="96" t="s">
        <v>213</v>
      </c>
      <c r="B13" s="371" t="s">
        <v>214</v>
      </c>
      <c r="C13" s="367" t="s">
        <v>311</v>
      </c>
      <c r="D13" s="367"/>
      <c r="E13" s="365" t="s">
        <v>318</v>
      </c>
      <c r="F13" s="366"/>
      <c r="G13" s="365" t="s">
        <v>319</v>
      </c>
      <c r="H13" s="366"/>
      <c r="I13" s="365" t="s">
        <v>320</v>
      </c>
      <c r="J13" s="366"/>
      <c r="K13" s="365" t="s">
        <v>321</v>
      </c>
      <c r="L13" s="366"/>
      <c r="M13" s="365" t="s">
        <v>322</v>
      </c>
      <c r="N13" s="366"/>
      <c r="O13" s="363" t="s">
        <v>215</v>
      </c>
      <c r="P13" s="363" t="s">
        <v>216</v>
      </c>
      <c r="Q13" s="363" t="s">
        <v>306</v>
      </c>
      <c r="R13" s="141" t="s">
        <v>217</v>
      </c>
      <c r="S13" s="141" t="s">
        <v>218</v>
      </c>
      <c r="T13" s="141" t="s">
        <v>219</v>
      </c>
      <c r="U13" s="367" t="s">
        <v>307</v>
      </c>
      <c r="V13" s="367"/>
      <c r="W13" s="367" t="s">
        <v>308</v>
      </c>
      <c r="X13" s="367"/>
      <c r="Y13" s="359" t="s">
        <v>307</v>
      </c>
      <c r="Z13" s="359"/>
      <c r="AA13" s="359" t="s">
        <v>308</v>
      </c>
      <c r="AB13" s="359"/>
      <c r="AC13" s="359" t="s">
        <v>307</v>
      </c>
      <c r="AD13" s="359"/>
      <c r="AE13" s="359" t="s">
        <v>308</v>
      </c>
      <c r="AF13" s="359"/>
      <c r="AG13" s="359" t="s">
        <v>307</v>
      </c>
      <c r="AH13" s="359"/>
      <c r="AI13" s="359" t="s">
        <v>308</v>
      </c>
      <c r="AJ13" s="359"/>
      <c r="AK13" s="359" t="s">
        <v>307</v>
      </c>
      <c r="AL13" s="359"/>
      <c r="AM13" s="359" t="s">
        <v>308</v>
      </c>
      <c r="AN13" s="359"/>
    </row>
    <row r="14" spans="1:40" ht="12">
      <c r="A14" s="97" t="s">
        <v>220</v>
      </c>
      <c r="B14" s="364"/>
      <c r="C14" s="140" t="s">
        <v>221</v>
      </c>
      <c r="D14" s="140" t="s">
        <v>222</v>
      </c>
      <c r="E14" s="165" t="s">
        <v>221</v>
      </c>
      <c r="F14" s="166" t="s">
        <v>222</v>
      </c>
      <c r="G14" s="165" t="s">
        <v>221</v>
      </c>
      <c r="H14" s="166" t="s">
        <v>222</v>
      </c>
      <c r="I14" s="165" t="s">
        <v>221</v>
      </c>
      <c r="J14" s="166" t="s">
        <v>222</v>
      </c>
      <c r="K14" s="165" t="s">
        <v>221</v>
      </c>
      <c r="L14" s="166" t="s">
        <v>222</v>
      </c>
      <c r="M14" s="165" t="s">
        <v>221</v>
      </c>
      <c r="N14" s="166" t="s">
        <v>222</v>
      </c>
      <c r="O14" s="364"/>
      <c r="P14" s="364"/>
      <c r="Q14" s="364"/>
      <c r="R14" s="97" t="s">
        <v>223</v>
      </c>
      <c r="S14" s="97" t="s">
        <v>224</v>
      </c>
      <c r="T14" s="97" t="s">
        <v>225</v>
      </c>
      <c r="U14" s="140" t="s">
        <v>226</v>
      </c>
      <c r="V14" s="140" t="s">
        <v>227</v>
      </c>
      <c r="W14" s="140" t="s">
        <v>226</v>
      </c>
      <c r="X14" s="140" t="s">
        <v>227</v>
      </c>
      <c r="Y14" s="163" t="s">
        <v>226</v>
      </c>
      <c r="Z14" s="163" t="s">
        <v>227</v>
      </c>
      <c r="AA14" s="163" t="s">
        <v>226</v>
      </c>
      <c r="AB14" s="163" t="s">
        <v>227</v>
      </c>
      <c r="AC14" s="163" t="s">
        <v>226</v>
      </c>
      <c r="AD14" s="163" t="s">
        <v>227</v>
      </c>
      <c r="AE14" s="163" t="s">
        <v>226</v>
      </c>
      <c r="AF14" s="163" t="s">
        <v>227</v>
      </c>
      <c r="AG14" s="163" t="s">
        <v>226</v>
      </c>
      <c r="AH14" s="163" t="s">
        <v>227</v>
      </c>
      <c r="AI14" s="163" t="s">
        <v>226</v>
      </c>
      <c r="AJ14" s="163" t="s">
        <v>227</v>
      </c>
      <c r="AK14" s="163" t="s">
        <v>226</v>
      </c>
      <c r="AL14" s="163" t="s">
        <v>227</v>
      </c>
      <c r="AM14" s="163" t="s">
        <v>226</v>
      </c>
      <c r="AN14" s="163" t="s">
        <v>227</v>
      </c>
    </row>
    <row r="15" spans="1:40" ht="12">
      <c r="A15" s="370" t="s">
        <v>228</v>
      </c>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2"/>
    </row>
    <row r="16" spans="1:40" ht="12">
      <c r="A16" s="98" t="s">
        <v>229</v>
      </c>
      <c r="B16" s="153" t="s">
        <v>230</v>
      </c>
      <c r="C16" s="158">
        <v>1200</v>
      </c>
      <c r="D16" s="158">
        <v>5000000</v>
      </c>
      <c r="E16" s="158">
        <f>F16/8760</f>
        <v>420.0913242009132</v>
      </c>
      <c r="F16" s="158">
        <f>D16*$C$5</f>
        <v>3680000</v>
      </c>
      <c r="G16" s="158">
        <f>$C$6*C16</f>
        <v>1009.1999999999999</v>
      </c>
      <c r="H16" s="158">
        <f>$C$6*D16</f>
        <v>4205000</v>
      </c>
      <c r="I16" s="158">
        <f>$C$7*C16</f>
        <v>1008</v>
      </c>
      <c r="J16" s="158">
        <f>$C$7*D16</f>
        <v>4200000</v>
      </c>
      <c r="K16" s="158">
        <f>$C$8*C16</f>
        <v>1059.6</v>
      </c>
      <c r="L16" s="158">
        <f>$C$8*D16</f>
        <v>4415000</v>
      </c>
      <c r="M16" s="158">
        <f>$C$9*C16</f>
        <v>1027.2</v>
      </c>
      <c r="N16" s="158">
        <f>$C$9*D16</f>
        <v>4280000</v>
      </c>
      <c r="O16" s="149">
        <v>8.8</v>
      </c>
      <c r="P16" s="149">
        <v>15.5</v>
      </c>
      <c r="Q16" s="151">
        <f>0.35*0.0032*(O16/5)^1.3/(P16/2)^1.4</f>
        <v>0.0001328501678078616</v>
      </c>
      <c r="R16" s="151">
        <f>0.74*0.0032*(O16/5)^1.3/(P16/2)^1.4</f>
        <v>0.0002808832119366217</v>
      </c>
      <c r="S16" s="151" t="s">
        <v>231</v>
      </c>
      <c r="T16" s="171">
        <v>0.8</v>
      </c>
      <c r="U16" s="147">
        <f>E16*$Q$16*(100%-$T$16)</f>
        <v>0.011161840582943621</v>
      </c>
      <c r="V16" s="147">
        <f>F16*$Q$16/2000*(100%-$T$16)</f>
        <v>0.04888886175329306</v>
      </c>
      <c r="W16" s="157">
        <f>E16*$R$16*(100%-$T$16)</f>
        <v>0.023599320089652227</v>
      </c>
      <c r="X16" s="157">
        <f>F16*$R$16/2000*(100%-$T$16)</f>
        <v>0.10336502199267675</v>
      </c>
      <c r="Y16" s="157">
        <f>G16*Q16*(100%-T16)</f>
        <v>0.026814477870338776</v>
      </c>
      <c r="Z16" s="157">
        <f>H16*Q16/2000*(100%-T16)</f>
        <v>0.05586349556320579</v>
      </c>
      <c r="AA16" s="157">
        <f>G16*R16*(100%-T16)</f>
        <v>0.05669346749728771</v>
      </c>
      <c r="AB16" s="157">
        <f>H16*R16/2000*(100%-T16)</f>
        <v>0.11811139061934939</v>
      </c>
      <c r="AC16" s="157">
        <f>I16*Q16*(100%-T16)</f>
        <v>0.026782593830064892</v>
      </c>
      <c r="AD16" s="157">
        <f>J16*Q16/2000*(100%-T16)</f>
        <v>0.05579707047930186</v>
      </c>
      <c r="AE16" s="157">
        <f>I16*R16*(100%-T16)</f>
        <v>0.05662605552642292</v>
      </c>
      <c r="AF16" s="157">
        <f>J16*R16/2000*(100%-T16)</f>
        <v>0.11797094901338108</v>
      </c>
      <c r="AG16" s="157">
        <f>K16*Q16*(100%-T16)</f>
        <v>0.028153607561842025</v>
      </c>
      <c r="AH16" s="157">
        <f>L16*Q16/2000*(100%-T16)</f>
        <v>0.05865334908717089</v>
      </c>
      <c r="AI16" s="157">
        <f>K16*R16*(100%-T16)</f>
        <v>0.05952477027360885</v>
      </c>
      <c r="AJ16" s="157">
        <f>L16*R16/2000*(100%-T16)</f>
        <v>0.12400993807001845</v>
      </c>
      <c r="AK16" s="157">
        <f>M16*Q16*(100%-T16)</f>
        <v>0.02729273847444708</v>
      </c>
      <c r="AL16" s="157">
        <f>N16*Q16/2000*(100%-T16)</f>
        <v>0.05685987182176475</v>
      </c>
      <c r="AM16" s="157">
        <f>M16*R16*(100%-T16)</f>
        <v>0.05770464706025955</v>
      </c>
      <c r="AN16" s="157">
        <f>N16*R16/2000*(100%-T16)</f>
        <v>0.12021801470887405</v>
      </c>
    </row>
    <row r="17" spans="1:40" ht="12">
      <c r="A17" s="98" t="s">
        <v>229</v>
      </c>
      <c r="B17" s="148" t="s">
        <v>232</v>
      </c>
      <c r="C17" s="150">
        <v>1200</v>
      </c>
      <c r="D17" s="158">
        <v>5000000</v>
      </c>
      <c r="E17" s="158">
        <f aca="true" t="shared" si="0" ref="E17:E34">F17/8760</f>
        <v>420.0913242009132</v>
      </c>
      <c r="F17" s="158">
        <f aca="true" t="shared" si="1" ref="F17:F34">D17*$C$5</f>
        <v>3680000</v>
      </c>
      <c r="G17" s="158">
        <f aca="true" t="shared" si="2" ref="G17:H34">$C$6*C17</f>
        <v>1009.1999999999999</v>
      </c>
      <c r="H17" s="158">
        <f t="shared" si="2"/>
        <v>4205000</v>
      </c>
      <c r="I17" s="158">
        <f aca="true" t="shared" si="3" ref="I17:J34">$C$7*C17</f>
        <v>1008</v>
      </c>
      <c r="J17" s="158">
        <f t="shared" si="3"/>
        <v>4200000</v>
      </c>
      <c r="K17" s="158">
        <f aca="true" t="shared" si="4" ref="K17:L34">$C$8*C17</f>
        <v>1059.6</v>
      </c>
      <c r="L17" s="158">
        <f t="shared" si="4"/>
        <v>4415000</v>
      </c>
      <c r="M17" s="158">
        <f aca="true" t="shared" si="5" ref="M17:N34">$C$9*C17</f>
        <v>1027.2</v>
      </c>
      <c r="N17" s="158">
        <f t="shared" si="5"/>
        <v>4280000</v>
      </c>
      <c r="O17" s="155" t="s">
        <v>233</v>
      </c>
      <c r="P17" s="155" t="s">
        <v>233</v>
      </c>
      <c r="Q17" s="156">
        <v>0.00054</v>
      </c>
      <c r="R17" s="156">
        <v>0.0012</v>
      </c>
      <c r="S17" s="156" t="s">
        <v>234</v>
      </c>
      <c r="T17" s="171">
        <v>0.99</v>
      </c>
      <c r="U17" s="157">
        <f>E17*Q17*(100%-T17)</f>
        <v>0.0022684931506849336</v>
      </c>
      <c r="V17" s="157">
        <f>F17*Q17/2000*(100%-T17)</f>
        <v>0.009936000000000009</v>
      </c>
      <c r="W17" s="157">
        <f>E17*R17*(100%-T17)</f>
        <v>0.005041095890410963</v>
      </c>
      <c r="X17" s="157">
        <f aca="true" t="shared" si="6" ref="X17:X34">F17*R17/2000*(100%-T17)</f>
        <v>0.02208000000000002</v>
      </c>
      <c r="Y17" s="157">
        <f aca="true" t="shared" si="7" ref="Y17:Y34">G17*Q17*(100%-T17)</f>
        <v>0.005449680000000005</v>
      </c>
      <c r="Z17" s="157">
        <f aca="true" t="shared" si="8" ref="Z17:Z34">H17*Q17/2000*(100%-T17)</f>
        <v>0.01135350000000001</v>
      </c>
      <c r="AA17" s="157">
        <f aca="true" t="shared" si="9" ref="AA17:AA34">G17*R17*(100%-T17)</f>
        <v>0.012110400000000009</v>
      </c>
      <c r="AB17" s="157">
        <f aca="true" t="shared" si="10" ref="AB17:AB34">H17*R17/2000*(100%-T17)</f>
        <v>0.025230000000000023</v>
      </c>
      <c r="AC17" s="157">
        <f aca="true" t="shared" si="11" ref="AC17:AC34">I17*Q17*(100%-T17)</f>
        <v>0.005443200000000005</v>
      </c>
      <c r="AD17" s="157">
        <f aca="true" t="shared" si="12" ref="AD17:AD34">J17*Q17/2000*(100%-T17)</f>
        <v>0.01134000000000001</v>
      </c>
      <c r="AE17" s="157">
        <f aca="true" t="shared" si="13" ref="AE17:AE34">I17*R17*(100%-T17)</f>
        <v>0.012096000000000008</v>
      </c>
      <c r="AF17" s="157">
        <f aca="true" t="shared" si="14" ref="AF17:AF34">J17*R17/2000*(100%-T17)</f>
        <v>0.02520000000000002</v>
      </c>
      <c r="AG17" s="157">
        <f aca="true" t="shared" si="15" ref="AG17:AG34">K17*Q17*(100%-T17)</f>
        <v>0.005721840000000004</v>
      </c>
      <c r="AH17" s="157">
        <f aca="true" t="shared" si="16" ref="AH17:AH34">L17*Q17/2000*(100%-T17)</f>
        <v>0.011920500000000011</v>
      </c>
      <c r="AI17" s="157">
        <f aca="true" t="shared" si="17" ref="AI17:AI34">K17*R17*(100%-T17)</f>
        <v>0.012715200000000008</v>
      </c>
      <c r="AJ17" s="157">
        <f aca="true" t="shared" si="18" ref="AJ17:AJ34">L17*R17/2000*(100%-T17)</f>
        <v>0.02649000000000002</v>
      </c>
      <c r="AK17" s="157">
        <f aca="true" t="shared" si="19" ref="AK17:AK34">M17*Q17*(100%-T17)</f>
        <v>0.005546880000000006</v>
      </c>
      <c r="AL17" s="157">
        <f aca="true" t="shared" si="20" ref="AL17:AL34">N17*Q17/2000*(100%-T17)</f>
        <v>0.01155600000000001</v>
      </c>
      <c r="AM17" s="157">
        <f aca="true" t="shared" si="21" ref="AM17:AM34">M17*R17*(100%-T17)</f>
        <v>0.01232640000000001</v>
      </c>
      <c r="AN17" s="157">
        <f aca="true" t="shared" si="22" ref="AN17:AN34">N17*R17/2000*(100%-T17)</f>
        <v>0.025680000000000022</v>
      </c>
    </row>
    <row r="18" spans="1:40" ht="12">
      <c r="A18" s="98" t="s">
        <v>229</v>
      </c>
      <c r="B18" s="153" t="s">
        <v>235</v>
      </c>
      <c r="C18" s="158">
        <v>1500</v>
      </c>
      <c r="D18" s="158">
        <v>5000000</v>
      </c>
      <c r="E18" s="158">
        <f t="shared" si="0"/>
        <v>420.0913242009132</v>
      </c>
      <c r="F18" s="158">
        <f t="shared" si="1"/>
        <v>3680000</v>
      </c>
      <c r="G18" s="158">
        <f t="shared" si="2"/>
        <v>1261.5</v>
      </c>
      <c r="H18" s="158">
        <f t="shared" si="2"/>
        <v>4205000</v>
      </c>
      <c r="I18" s="158">
        <f t="shared" si="3"/>
        <v>1260</v>
      </c>
      <c r="J18" s="158">
        <f t="shared" si="3"/>
        <v>4200000</v>
      </c>
      <c r="K18" s="158">
        <f t="shared" si="4"/>
        <v>1324.5</v>
      </c>
      <c r="L18" s="158">
        <f t="shared" si="4"/>
        <v>4415000</v>
      </c>
      <c r="M18" s="158">
        <f t="shared" si="5"/>
        <v>1284</v>
      </c>
      <c r="N18" s="158">
        <f t="shared" si="5"/>
        <v>4280000</v>
      </c>
      <c r="O18" s="149">
        <v>8.8</v>
      </c>
      <c r="P18" s="149">
        <v>15.5</v>
      </c>
      <c r="Q18" s="151">
        <f aca="true" t="shared" si="23" ref="Q18:Q34">0.35*0.0032*(O18/5)^1.3/(P18/2)^1.4</f>
        <v>0.0001328501678078616</v>
      </c>
      <c r="R18" s="151">
        <f aca="true" t="shared" si="24" ref="R18:R34">0.74*0.0032*(O18/5)^1.3/(P18/2)^1.4</f>
        <v>0.0002808832119366217</v>
      </c>
      <c r="S18" s="151" t="s">
        <v>231</v>
      </c>
      <c r="T18" s="171">
        <v>0.8</v>
      </c>
      <c r="U18" s="147">
        <f aca="true" t="shared" si="25" ref="U18:U34">E18*Q18*(100%-T18)</f>
        <v>0.011161840582943621</v>
      </c>
      <c r="V18" s="147">
        <f aca="true" t="shared" si="26" ref="V18:V34">F18*Q18/2000*(100%-T18)</f>
        <v>0.04888886175329306</v>
      </c>
      <c r="W18" s="147">
        <f aca="true" t="shared" si="27" ref="W18:W34">E18*R18*(100%-T18)</f>
        <v>0.023599320089652227</v>
      </c>
      <c r="X18" s="157">
        <f t="shared" si="6"/>
        <v>0.10336502199267675</v>
      </c>
      <c r="Y18" s="157">
        <f t="shared" si="7"/>
        <v>0.03351809733792347</v>
      </c>
      <c r="Z18" s="157">
        <f t="shared" si="8"/>
        <v>0.05586349556320579</v>
      </c>
      <c r="AA18" s="157">
        <f t="shared" si="9"/>
        <v>0.07086683437160964</v>
      </c>
      <c r="AB18" s="157">
        <f t="shared" si="10"/>
        <v>0.11811139061934939</v>
      </c>
      <c r="AC18" s="157">
        <f t="shared" si="11"/>
        <v>0.03347824228758112</v>
      </c>
      <c r="AD18" s="157">
        <f t="shared" si="12"/>
        <v>0.05579707047930186</v>
      </c>
      <c r="AE18" s="157">
        <f t="shared" si="13"/>
        <v>0.07078256940802864</v>
      </c>
      <c r="AF18" s="157">
        <f t="shared" si="14"/>
        <v>0.11797094901338108</v>
      </c>
      <c r="AG18" s="157">
        <f t="shared" si="15"/>
        <v>0.035192009452302525</v>
      </c>
      <c r="AH18" s="157">
        <f t="shared" si="16"/>
        <v>0.05865334908717089</v>
      </c>
      <c r="AI18" s="157">
        <f t="shared" si="17"/>
        <v>0.07440596284201106</v>
      </c>
      <c r="AJ18" s="157">
        <f t="shared" si="18"/>
        <v>0.12400993807001845</v>
      </c>
      <c r="AK18" s="157">
        <f t="shared" si="19"/>
        <v>0.03411592309305885</v>
      </c>
      <c r="AL18" s="157">
        <f t="shared" si="20"/>
        <v>0.05685987182176475</v>
      </c>
      <c r="AM18" s="157">
        <f t="shared" si="21"/>
        <v>0.07213080882532442</v>
      </c>
      <c r="AN18" s="157">
        <f t="shared" si="22"/>
        <v>0.12021801470887405</v>
      </c>
    </row>
    <row r="19" spans="1:40" ht="12">
      <c r="A19" s="98" t="s">
        <v>229</v>
      </c>
      <c r="B19" s="153" t="s">
        <v>236</v>
      </c>
      <c r="C19" s="158">
        <v>3000</v>
      </c>
      <c r="D19" s="158">
        <f>5000000*0.5</f>
        <v>2500000</v>
      </c>
      <c r="E19" s="158">
        <f t="shared" si="0"/>
        <v>210.0456621004566</v>
      </c>
      <c r="F19" s="158">
        <f t="shared" si="1"/>
        <v>1840000</v>
      </c>
      <c r="G19" s="158">
        <f t="shared" si="2"/>
        <v>2523</v>
      </c>
      <c r="H19" s="158">
        <f t="shared" si="2"/>
        <v>2102500</v>
      </c>
      <c r="I19" s="158">
        <f t="shared" si="3"/>
        <v>2520</v>
      </c>
      <c r="J19" s="158">
        <f t="shared" si="3"/>
        <v>2100000</v>
      </c>
      <c r="K19" s="158">
        <f t="shared" si="4"/>
        <v>2649</v>
      </c>
      <c r="L19" s="158">
        <f t="shared" si="4"/>
        <v>2207500</v>
      </c>
      <c r="M19" s="158">
        <f t="shared" si="5"/>
        <v>2568</v>
      </c>
      <c r="N19" s="158">
        <f t="shared" si="5"/>
        <v>2140000</v>
      </c>
      <c r="O19" s="149">
        <v>8.8</v>
      </c>
      <c r="P19" s="149">
        <v>15.5</v>
      </c>
      <c r="Q19" s="151">
        <f>0.35*0.0032*(O19/5)^1.3/(P19/2)^1.4</f>
        <v>0.0001328501678078616</v>
      </c>
      <c r="R19" s="151">
        <f t="shared" si="24"/>
        <v>0.0002808832119366217</v>
      </c>
      <c r="S19" s="151" t="s">
        <v>231</v>
      </c>
      <c r="T19" s="171">
        <v>0.8</v>
      </c>
      <c r="U19" s="147">
        <f t="shared" si="25"/>
        <v>0.005580920291471811</v>
      </c>
      <c r="V19" s="147">
        <f t="shared" si="26"/>
        <v>0.02444443087664653</v>
      </c>
      <c r="W19" s="147">
        <f t="shared" si="27"/>
        <v>0.011799660044826113</v>
      </c>
      <c r="X19" s="157">
        <f t="shared" si="6"/>
        <v>0.051682510996338374</v>
      </c>
      <c r="Y19" s="157">
        <f t="shared" si="7"/>
        <v>0.06703619467584694</v>
      </c>
      <c r="Z19" s="157">
        <f t="shared" si="8"/>
        <v>0.027931747781602893</v>
      </c>
      <c r="AA19" s="157">
        <f t="shared" si="9"/>
        <v>0.14173366874321927</v>
      </c>
      <c r="AB19" s="157">
        <f t="shared" si="10"/>
        <v>0.059055695309674694</v>
      </c>
      <c r="AC19" s="157">
        <f t="shared" si="11"/>
        <v>0.06695648457516223</v>
      </c>
      <c r="AD19" s="157">
        <f t="shared" si="12"/>
        <v>0.02789853523965093</v>
      </c>
      <c r="AE19" s="157">
        <f t="shared" si="13"/>
        <v>0.14156513881605728</v>
      </c>
      <c r="AF19" s="157">
        <f t="shared" si="14"/>
        <v>0.05898547450669054</v>
      </c>
      <c r="AG19" s="157">
        <f t="shared" si="15"/>
        <v>0.07038401890460505</v>
      </c>
      <c r="AH19" s="157">
        <f t="shared" si="16"/>
        <v>0.029326674543585445</v>
      </c>
      <c r="AI19" s="157">
        <f t="shared" si="17"/>
        <v>0.14881192568402213</v>
      </c>
      <c r="AJ19" s="157">
        <f t="shared" si="18"/>
        <v>0.062004969035009225</v>
      </c>
      <c r="AK19" s="157">
        <f t="shared" si="19"/>
        <v>0.0682318461861177</v>
      </c>
      <c r="AL19" s="157">
        <f t="shared" si="20"/>
        <v>0.028429935910882376</v>
      </c>
      <c r="AM19" s="157">
        <f t="shared" si="21"/>
        <v>0.14426161765064885</v>
      </c>
      <c r="AN19" s="157">
        <f t="shared" si="22"/>
        <v>0.06010900735443703</v>
      </c>
    </row>
    <row r="20" spans="1:40" ht="12">
      <c r="A20" s="98" t="s">
        <v>229</v>
      </c>
      <c r="B20" s="153" t="s">
        <v>237</v>
      </c>
      <c r="C20" s="158">
        <v>1200</v>
      </c>
      <c r="D20" s="158">
        <f>5000000*0.5</f>
        <v>2500000</v>
      </c>
      <c r="E20" s="158">
        <f t="shared" si="0"/>
        <v>210.0456621004566</v>
      </c>
      <c r="F20" s="158">
        <f t="shared" si="1"/>
        <v>1840000</v>
      </c>
      <c r="G20" s="158">
        <f t="shared" si="2"/>
        <v>1009.1999999999999</v>
      </c>
      <c r="H20" s="158">
        <f t="shared" si="2"/>
        <v>2102500</v>
      </c>
      <c r="I20" s="158">
        <f t="shared" si="3"/>
        <v>1008</v>
      </c>
      <c r="J20" s="158">
        <f t="shared" si="3"/>
        <v>2100000</v>
      </c>
      <c r="K20" s="158">
        <f t="shared" si="4"/>
        <v>1059.6</v>
      </c>
      <c r="L20" s="158">
        <f t="shared" si="4"/>
        <v>2207500</v>
      </c>
      <c r="M20" s="158">
        <f t="shared" si="5"/>
        <v>1027.2</v>
      </c>
      <c r="N20" s="158">
        <f t="shared" si="5"/>
        <v>2140000</v>
      </c>
      <c r="O20" s="149">
        <v>8.8</v>
      </c>
      <c r="P20" s="149">
        <v>15.5</v>
      </c>
      <c r="Q20" s="151">
        <f>0.35*0.0032*(O20/5)^1.3/(P20/2)^1.4</f>
        <v>0.0001328501678078616</v>
      </c>
      <c r="R20" s="151">
        <f t="shared" si="24"/>
        <v>0.0002808832119366217</v>
      </c>
      <c r="S20" s="151" t="s">
        <v>238</v>
      </c>
      <c r="T20" s="171">
        <v>0.99</v>
      </c>
      <c r="U20" s="147">
        <f t="shared" si="25"/>
        <v>0.00027904601457359084</v>
      </c>
      <c r="V20" s="147">
        <f t="shared" si="26"/>
        <v>0.0012222215438323278</v>
      </c>
      <c r="W20" s="147">
        <f t="shared" si="27"/>
        <v>0.0005899830022413063</v>
      </c>
      <c r="X20" s="157">
        <f t="shared" si="6"/>
        <v>0.002584125549816921</v>
      </c>
      <c r="Y20" s="157">
        <f t="shared" si="7"/>
        <v>0.0013407238935169404</v>
      </c>
      <c r="Z20" s="157">
        <f t="shared" si="8"/>
        <v>0.0013965873890801463</v>
      </c>
      <c r="AA20" s="157">
        <f t="shared" si="9"/>
        <v>0.0028346733748643885</v>
      </c>
      <c r="AB20" s="157">
        <f t="shared" si="10"/>
        <v>0.002952784765483738</v>
      </c>
      <c r="AC20" s="157">
        <f t="shared" si="11"/>
        <v>0.001339129691503246</v>
      </c>
      <c r="AD20" s="157">
        <f t="shared" si="12"/>
        <v>0.001394926761982548</v>
      </c>
      <c r="AE20" s="157">
        <f t="shared" si="13"/>
        <v>0.0028313027763211492</v>
      </c>
      <c r="AF20" s="157">
        <f t="shared" si="14"/>
        <v>0.00294927372533453</v>
      </c>
      <c r="AG20" s="157">
        <f t="shared" si="15"/>
        <v>0.001407680378092103</v>
      </c>
      <c r="AH20" s="157">
        <f t="shared" si="16"/>
        <v>0.0014663337271792738</v>
      </c>
      <c r="AI20" s="157">
        <f t="shared" si="17"/>
        <v>0.002976238513680446</v>
      </c>
      <c r="AJ20" s="157">
        <f t="shared" si="18"/>
        <v>0.0031002484517504646</v>
      </c>
      <c r="AK20" s="157">
        <f t="shared" si="19"/>
        <v>0.0013646369237223556</v>
      </c>
      <c r="AL20" s="157">
        <f t="shared" si="20"/>
        <v>0.0014214967955441203</v>
      </c>
      <c r="AM20" s="157">
        <f t="shared" si="21"/>
        <v>0.0028852323530129806</v>
      </c>
      <c r="AN20" s="157">
        <f t="shared" si="22"/>
        <v>0.0030054503677218545</v>
      </c>
    </row>
    <row r="21" spans="1:40" ht="12">
      <c r="A21" s="98" t="s">
        <v>229</v>
      </c>
      <c r="B21" s="153" t="s">
        <v>239</v>
      </c>
      <c r="C21" s="158">
        <v>1200</v>
      </c>
      <c r="D21" s="158">
        <f>5000000*0.5</f>
        <v>2500000</v>
      </c>
      <c r="E21" s="158">
        <f t="shared" si="0"/>
        <v>210.0456621004566</v>
      </c>
      <c r="F21" s="158">
        <f t="shared" si="1"/>
        <v>1840000</v>
      </c>
      <c r="G21" s="158">
        <f t="shared" si="2"/>
        <v>1009.1999999999999</v>
      </c>
      <c r="H21" s="158">
        <f t="shared" si="2"/>
        <v>2102500</v>
      </c>
      <c r="I21" s="158">
        <f t="shared" si="3"/>
        <v>1008</v>
      </c>
      <c r="J21" s="158">
        <f t="shared" si="3"/>
        <v>2100000</v>
      </c>
      <c r="K21" s="158">
        <f t="shared" si="4"/>
        <v>1059.6</v>
      </c>
      <c r="L21" s="158">
        <f t="shared" si="4"/>
        <v>2207500</v>
      </c>
      <c r="M21" s="158">
        <f t="shared" si="5"/>
        <v>1027.2</v>
      </c>
      <c r="N21" s="158">
        <f t="shared" si="5"/>
        <v>2140000</v>
      </c>
      <c r="O21" s="149">
        <v>8.8</v>
      </c>
      <c r="P21" s="149">
        <v>15.5</v>
      </c>
      <c r="Q21" s="151">
        <f>0.35*0.0032*(O21/5)^1.3/(P21/2)^1.4</f>
        <v>0.0001328501678078616</v>
      </c>
      <c r="R21" s="151">
        <f t="shared" si="24"/>
        <v>0.0002808832119366217</v>
      </c>
      <c r="S21" s="151" t="s">
        <v>234</v>
      </c>
      <c r="T21" s="171">
        <v>0.99</v>
      </c>
      <c r="U21" s="157">
        <f t="shared" si="25"/>
        <v>0.00027904601457359084</v>
      </c>
      <c r="V21" s="157">
        <f t="shared" si="26"/>
        <v>0.0012222215438323278</v>
      </c>
      <c r="W21" s="157">
        <f t="shared" si="27"/>
        <v>0.0005899830022413063</v>
      </c>
      <c r="X21" s="157">
        <f t="shared" si="6"/>
        <v>0.002584125549816921</v>
      </c>
      <c r="Y21" s="157">
        <f t="shared" si="7"/>
        <v>0.0013407238935169404</v>
      </c>
      <c r="Z21" s="157">
        <f t="shared" si="8"/>
        <v>0.0013965873890801463</v>
      </c>
      <c r="AA21" s="157">
        <f t="shared" si="9"/>
        <v>0.0028346733748643885</v>
      </c>
      <c r="AB21" s="157">
        <f t="shared" si="10"/>
        <v>0.002952784765483738</v>
      </c>
      <c r="AC21" s="157">
        <f t="shared" si="11"/>
        <v>0.001339129691503246</v>
      </c>
      <c r="AD21" s="157">
        <f t="shared" si="12"/>
        <v>0.001394926761982548</v>
      </c>
      <c r="AE21" s="157">
        <f t="shared" si="13"/>
        <v>0.0028313027763211492</v>
      </c>
      <c r="AF21" s="157">
        <f t="shared" si="14"/>
        <v>0.00294927372533453</v>
      </c>
      <c r="AG21" s="157">
        <f t="shared" si="15"/>
        <v>0.001407680378092103</v>
      </c>
      <c r="AH21" s="157">
        <f t="shared" si="16"/>
        <v>0.0014663337271792738</v>
      </c>
      <c r="AI21" s="157">
        <f t="shared" si="17"/>
        <v>0.002976238513680446</v>
      </c>
      <c r="AJ21" s="157">
        <f t="shared" si="18"/>
        <v>0.0031002484517504646</v>
      </c>
      <c r="AK21" s="157">
        <f t="shared" si="19"/>
        <v>0.0013646369237223556</v>
      </c>
      <c r="AL21" s="157">
        <f t="shared" si="20"/>
        <v>0.0014214967955441203</v>
      </c>
      <c r="AM21" s="157">
        <f t="shared" si="21"/>
        <v>0.0028852323530129806</v>
      </c>
      <c r="AN21" s="157">
        <f t="shared" si="22"/>
        <v>0.0030054503677218545</v>
      </c>
    </row>
    <row r="22" spans="1:40" ht="12">
      <c r="A22" s="98" t="s">
        <v>229</v>
      </c>
      <c r="B22" s="153" t="s">
        <v>240</v>
      </c>
      <c r="C22" s="158">
        <v>3000</v>
      </c>
      <c r="D22" s="158">
        <f>5000000*0.5</f>
        <v>2500000</v>
      </c>
      <c r="E22" s="158">
        <f t="shared" si="0"/>
        <v>210.0456621004566</v>
      </c>
      <c r="F22" s="158">
        <f t="shared" si="1"/>
        <v>1840000</v>
      </c>
      <c r="G22" s="158">
        <f t="shared" si="2"/>
        <v>2523</v>
      </c>
      <c r="H22" s="158">
        <f t="shared" si="2"/>
        <v>2102500</v>
      </c>
      <c r="I22" s="158">
        <f t="shared" si="3"/>
        <v>2520</v>
      </c>
      <c r="J22" s="158">
        <f t="shared" si="3"/>
        <v>2100000</v>
      </c>
      <c r="K22" s="158">
        <f t="shared" si="4"/>
        <v>2649</v>
      </c>
      <c r="L22" s="158">
        <f t="shared" si="4"/>
        <v>2207500</v>
      </c>
      <c r="M22" s="158">
        <f t="shared" si="5"/>
        <v>2568</v>
      </c>
      <c r="N22" s="158">
        <f t="shared" si="5"/>
        <v>2140000</v>
      </c>
      <c r="O22" s="149">
        <v>8.8</v>
      </c>
      <c r="P22" s="149">
        <v>15.5</v>
      </c>
      <c r="Q22" s="151">
        <f t="shared" si="23"/>
        <v>0.0001328501678078616</v>
      </c>
      <c r="R22" s="151">
        <f t="shared" si="24"/>
        <v>0.0002808832119366217</v>
      </c>
      <c r="S22" s="151" t="s">
        <v>231</v>
      </c>
      <c r="T22" s="171">
        <v>0.8</v>
      </c>
      <c r="U22" s="157">
        <f t="shared" si="25"/>
        <v>0.005580920291471811</v>
      </c>
      <c r="V22" s="157">
        <f t="shared" si="26"/>
        <v>0.02444443087664653</v>
      </c>
      <c r="W22" s="157">
        <f t="shared" si="27"/>
        <v>0.011799660044826113</v>
      </c>
      <c r="X22" s="157">
        <f t="shared" si="6"/>
        <v>0.051682510996338374</v>
      </c>
      <c r="Y22" s="157">
        <f t="shared" si="7"/>
        <v>0.06703619467584694</v>
      </c>
      <c r="Z22" s="157">
        <f t="shared" si="8"/>
        <v>0.027931747781602893</v>
      </c>
      <c r="AA22" s="157">
        <f t="shared" si="9"/>
        <v>0.14173366874321927</v>
      </c>
      <c r="AB22" s="157">
        <f t="shared" si="10"/>
        <v>0.059055695309674694</v>
      </c>
      <c r="AC22" s="157">
        <f t="shared" si="11"/>
        <v>0.06695648457516223</v>
      </c>
      <c r="AD22" s="157">
        <f t="shared" si="12"/>
        <v>0.02789853523965093</v>
      </c>
      <c r="AE22" s="157">
        <f t="shared" si="13"/>
        <v>0.14156513881605728</v>
      </c>
      <c r="AF22" s="157">
        <f t="shared" si="14"/>
        <v>0.05898547450669054</v>
      </c>
      <c r="AG22" s="157">
        <f t="shared" si="15"/>
        <v>0.07038401890460505</v>
      </c>
      <c r="AH22" s="157">
        <f t="shared" si="16"/>
        <v>0.029326674543585445</v>
      </c>
      <c r="AI22" s="157">
        <f t="shared" si="17"/>
        <v>0.14881192568402213</v>
      </c>
      <c r="AJ22" s="157">
        <f t="shared" si="18"/>
        <v>0.062004969035009225</v>
      </c>
      <c r="AK22" s="157">
        <f t="shared" si="19"/>
        <v>0.0682318461861177</v>
      </c>
      <c r="AL22" s="157">
        <f t="shared" si="20"/>
        <v>0.028429935910882376</v>
      </c>
      <c r="AM22" s="157">
        <f t="shared" si="21"/>
        <v>0.14426161765064885</v>
      </c>
      <c r="AN22" s="157">
        <f t="shared" si="22"/>
        <v>0.06010900735443703</v>
      </c>
    </row>
    <row r="23" spans="1:40" ht="12">
      <c r="A23" s="98" t="s">
        <v>229</v>
      </c>
      <c r="B23" s="153" t="s">
        <v>241</v>
      </c>
      <c r="C23" s="158">
        <v>3000</v>
      </c>
      <c r="D23" s="158">
        <f>5000000*0.5</f>
        <v>2500000</v>
      </c>
      <c r="E23" s="158">
        <f t="shared" si="0"/>
        <v>210.0456621004566</v>
      </c>
      <c r="F23" s="158">
        <f t="shared" si="1"/>
        <v>1840000</v>
      </c>
      <c r="G23" s="158">
        <f t="shared" si="2"/>
        <v>2523</v>
      </c>
      <c r="H23" s="158">
        <f t="shared" si="2"/>
        <v>2102500</v>
      </c>
      <c r="I23" s="158">
        <f t="shared" si="3"/>
        <v>2520</v>
      </c>
      <c r="J23" s="158">
        <f t="shared" si="3"/>
        <v>2100000</v>
      </c>
      <c r="K23" s="158">
        <f t="shared" si="4"/>
        <v>2649</v>
      </c>
      <c r="L23" s="158">
        <f t="shared" si="4"/>
        <v>2207500</v>
      </c>
      <c r="M23" s="158">
        <f t="shared" si="5"/>
        <v>2568</v>
      </c>
      <c r="N23" s="158">
        <f t="shared" si="5"/>
        <v>2140000</v>
      </c>
      <c r="O23" s="149">
        <v>8.8</v>
      </c>
      <c r="P23" s="149">
        <v>15.5</v>
      </c>
      <c r="Q23" s="151">
        <f t="shared" si="23"/>
        <v>0.0001328501678078616</v>
      </c>
      <c r="R23" s="151">
        <f t="shared" si="24"/>
        <v>0.0002808832119366217</v>
      </c>
      <c r="S23" s="172" t="s">
        <v>231</v>
      </c>
      <c r="T23" s="171">
        <v>0.8</v>
      </c>
      <c r="U23" s="157">
        <f t="shared" si="25"/>
        <v>0.005580920291471811</v>
      </c>
      <c r="V23" s="157">
        <f t="shared" si="26"/>
        <v>0.02444443087664653</v>
      </c>
      <c r="W23" s="157">
        <f t="shared" si="27"/>
        <v>0.011799660044826113</v>
      </c>
      <c r="X23" s="157">
        <f t="shared" si="6"/>
        <v>0.051682510996338374</v>
      </c>
      <c r="Y23" s="157">
        <f t="shared" si="7"/>
        <v>0.06703619467584694</v>
      </c>
      <c r="Z23" s="157">
        <f t="shared" si="8"/>
        <v>0.027931747781602893</v>
      </c>
      <c r="AA23" s="157">
        <f t="shared" si="9"/>
        <v>0.14173366874321927</v>
      </c>
      <c r="AB23" s="157">
        <f t="shared" si="10"/>
        <v>0.059055695309674694</v>
      </c>
      <c r="AC23" s="157">
        <f t="shared" si="11"/>
        <v>0.06695648457516223</v>
      </c>
      <c r="AD23" s="157">
        <f t="shared" si="12"/>
        <v>0.02789853523965093</v>
      </c>
      <c r="AE23" s="157">
        <f t="shared" si="13"/>
        <v>0.14156513881605728</v>
      </c>
      <c r="AF23" s="157">
        <f t="shared" si="14"/>
        <v>0.05898547450669054</v>
      </c>
      <c r="AG23" s="157">
        <f t="shared" si="15"/>
        <v>0.07038401890460505</v>
      </c>
      <c r="AH23" s="157">
        <f t="shared" si="16"/>
        <v>0.029326674543585445</v>
      </c>
      <c r="AI23" s="157">
        <f t="shared" si="17"/>
        <v>0.14881192568402213</v>
      </c>
      <c r="AJ23" s="157">
        <f t="shared" si="18"/>
        <v>0.062004969035009225</v>
      </c>
      <c r="AK23" s="157">
        <f t="shared" si="19"/>
        <v>0.0682318461861177</v>
      </c>
      <c r="AL23" s="157">
        <f t="shared" si="20"/>
        <v>0.028429935910882376</v>
      </c>
      <c r="AM23" s="157">
        <f t="shared" si="21"/>
        <v>0.14426161765064885</v>
      </c>
      <c r="AN23" s="157">
        <f t="shared" si="22"/>
        <v>0.06010900735443703</v>
      </c>
    </row>
    <row r="24" spans="1:40" ht="12">
      <c r="A24" s="98" t="s">
        <v>229</v>
      </c>
      <c r="B24" s="153" t="s">
        <v>242</v>
      </c>
      <c r="C24" s="158">
        <v>1200</v>
      </c>
      <c r="D24" s="158">
        <v>5000000</v>
      </c>
      <c r="E24" s="158">
        <f t="shared" si="0"/>
        <v>420.0913242009132</v>
      </c>
      <c r="F24" s="158">
        <f t="shared" si="1"/>
        <v>3680000</v>
      </c>
      <c r="G24" s="158">
        <f t="shared" si="2"/>
        <v>1009.1999999999999</v>
      </c>
      <c r="H24" s="158">
        <f t="shared" si="2"/>
        <v>4205000</v>
      </c>
      <c r="I24" s="158">
        <f t="shared" si="3"/>
        <v>1008</v>
      </c>
      <c r="J24" s="158">
        <f t="shared" si="3"/>
        <v>4200000</v>
      </c>
      <c r="K24" s="158">
        <f t="shared" si="4"/>
        <v>1059.6</v>
      </c>
      <c r="L24" s="158">
        <f t="shared" si="4"/>
        <v>4415000</v>
      </c>
      <c r="M24" s="158">
        <f t="shared" si="5"/>
        <v>1027.2</v>
      </c>
      <c r="N24" s="158">
        <f t="shared" si="5"/>
        <v>4280000</v>
      </c>
      <c r="O24" s="149">
        <v>8.8</v>
      </c>
      <c r="P24" s="149">
        <v>15.5</v>
      </c>
      <c r="Q24" s="151">
        <f t="shared" si="23"/>
        <v>0.0001328501678078616</v>
      </c>
      <c r="R24" s="151">
        <f t="shared" si="24"/>
        <v>0.0002808832119366217</v>
      </c>
      <c r="S24" s="151" t="s">
        <v>243</v>
      </c>
      <c r="T24" s="171">
        <v>0.99</v>
      </c>
      <c r="U24" s="157">
        <f t="shared" si="25"/>
        <v>0.0005580920291471817</v>
      </c>
      <c r="V24" s="157">
        <f t="shared" si="26"/>
        <v>0.0024444430876646556</v>
      </c>
      <c r="W24" s="157">
        <f t="shared" si="27"/>
        <v>0.0011799660044826126</v>
      </c>
      <c r="X24" s="157">
        <f t="shared" si="6"/>
        <v>0.005168251099633842</v>
      </c>
      <c r="Y24" s="157">
        <f t="shared" si="7"/>
        <v>0.0013407238935169404</v>
      </c>
      <c r="Z24" s="157">
        <f t="shared" si="8"/>
        <v>0.0027931747781602925</v>
      </c>
      <c r="AA24" s="157">
        <f t="shared" si="9"/>
        <v>0.0028346733748643885</v>
      </c>
      <c r="AB24" s="157">
        <f t="shared" si="10"/>
        <v>0.005905569530967476</v>
      </c>
      <c r="AC24" s="157">
        <f t="shared" si="11"/>
        <v>0.001339129691503246</v>
      </c>
      <c r="AD24" s="157">
        <f t="shared" si="12"/>
        <v>0.002789853523965096</v>
      </c>
      <c r="AE24" s="157">
        <f t="shared" si="13"/>
        <v>0.0028313027763211492</v>
      </c>
      <c r="AF24" s="157">
        <f t="shared" si="14"/>
        <v>0.00589854745066906</v>
      </c>
      <c r="AG24" s="157">
        <f t="shared" si="15"/>
        <v>0.001407680378092103</v>
      </c>
      <c r="AH24" s="157">
        <f t="shared" si="16"/>
        <v>0.0029326674543585477</v>
      </c>
      <c r="AI24" s="157">
        <f t="shared" si="17"/>
        <v>0.002976238513680446</v>
      </c>
      <c r="AJ24" s="157">
        <f t="shared" si="18"/>
        <v>0.006200496903500929</v>
      </c>
      <c r="AK24" s="157">
        <f t="shared" si="19"/>
        <v>0.0013646369237223556</v>
      </c>
      <c r="AL24" s="157">
        <f t="shared" si="20"/>
        <v>0.0028429935910882407</v>
      </c>
      <c r="AM24" s="157">
        <f t="shared" si="21"/>
        <v>0.0028852323530129806</v>
      </c>
      <c r="AN24" s="157">
        <f t="shared" si="22"/>
        <v>0.006010900735443709</v>
      </c>
    </row>
    <row r="25" spans="1:40" ht="12">
      <c r="A25" s="98" t="s">
        <v>229</v>
      </c>
      <c r="B25" s="153" t="s">
        <v>244</v>
      </c>
      <c r="C25" s="158">
        <v>0</v>
      </c>
      <c r="D25" s="158">
        <v>0</v>
      </c>
      <c r="E25" s="158">
        <f t="shared" si="0"/>
        <v>0</v>
      </c>
      <c r="F25" s="158">
        <f t="shared" si="1"/>
        <v>0</v>
      </c>
      <c r="G25" s="158">
        <f t="shared" si="2"/>
        <v>0</v>
      </c>
      <c r="H25" s="158">
        <f t="shared" si="2"/>
        <v>0</v>
      </c>
      <c r="I25" s="158">
        <f t="shared" si="3"/>
        <v>0</v>
      </c>
      <c r="J25" s="158">
        <f t="shared" si="3"/>
        <v>0</v>
      </c>
      <c r="K25" s="158">
        <f t="shared" si="4"/>
        <v>0</v>
      </c>
      <c r="L25" s="158">
        <f t="shared" si="4"/>
        <v>0</v>
      </c>
      <c r="M25" s="158">
        <f t="shared" si="5"/>
        <v>0</v>
      </c>
      <c r="N25" s="158">
        <f t="shared" si="5"/>
        <v>0</v>
      </c>
      <c r="O25" s="149">
        <v>8.8</v>
      </c>
      <c r="P25" s="149">
        <v>15.5</v>
      </c>
      <c r="Q25" s="151">
        <f t="shared" si="23"/>
        <v>0.0001328501678078616</v>
      </c>
      <c r="R25" s="151">
        <f t="shared" si="24"/>
        <v>0.0002808832119366217</v>
      </c>
      <c r="S25" s="151" t="s">
        <v>234</v>
      </c>
      <c r="T25" s="171">
        <v>0.99</v>
      </c>
      <c r="U25" s="157">
        <f t="shared" si="25"/>
        <v>0</v>
      </c>
      <c r="V25" s="157">
        <f t="shared" si="26"/>
        <v>0</v>
      </c>
      <c r="W25" s="157">
        <f t="shared" si="27"/>
        <v>0</v>
      </c>
      <c r="X25" s="157">
        <f t="shared" si="6"/>
        <v>0</v>
      </c>
      <c r="Y25" s="157">
        <f t="shared" si="7"/>
        <v>0</v>
      </c>
      <c r="Z25" s="157">
        <f t="shared" si="8"/>
        <v>0</v>
      </c>
      <c r="AA25" s="157">
        <f t="shared" si="9"/>
        <v>0</v>
      </c>
      <c r="AB25" s="157">
        <f t="shared" si="10"/>
        <v>0</v>
      </c>
      <c r="AC25" s="157">
        <f t="shared" si="11"/>
        <v>0</v>
      </c>
      <c r="AD25" s="157">
        <f t="shared" si="12"/>
        <v>0</v>
      </c>
      <c r="AE25" s="157">
        <f t="shared" si="13"/>
        <v>0</v>
      </c>
      <c r="AF25" s="157">
        <f t="shared" si="14"/>
        <v>0</v>
      </c>
      <c r="AG25" s="157">
        <f t="shared" si="15"/>
        <v>0</v>
      </c>
      <c r="AH25" s="157">
        <f t="shared" si="16"/>
        <v>0</v>
      </c>
      <c r="AI25" s="157">
        <f t="shared" si="17"/>
        <v>0</v>
      </c>
      <c r="AJ25" s="157">
        <f t="shared" si="18"/>
        <v>0</v>
      </c>
      <c r="AK25" s="157">
        <f t="shared" si="19"/>
        <v>0</v>
      </c>
      <c r="AL25" s="157">
        <f t="shared" si="20"/>
        <v>0</v>
      </c>
      <c r="AM25" s="157">
        <f t="shared" si="21"/>
        <v>0</v>
      </c>
      <c r="AN25" s="157">
        <f t="shared" si="22"/>
        <v>0</v>
      </c>
    </row>
    <row r="26" spans="1:40" ht="12">
      <c r="A26" s="98" t="s">
        <v>229</v>
      </c>
      <c r="B26" s="153" t="s">
        <v>245</v>
      </c>
      <c r="C26" s="158">
        <v>1200</v>
      </c>
      <c r="D26" s="158">
        <f>5000000*0.5</f>
        <v>2500000</v>
      </c>
      <c r="E26" s="158">
        <f t="shared" si="0"/>
        <v>210.0456621004566</v>
      </c>
      <c r="F26" s="158">
        <f t="shared" si="1"/>
        <v>1840000</v>
      </c>
      <c r="G26" s="158">
        <f t="shared" si="2"/>
        <v>1009.1999999999999</v>
      </c>
      <c r="H26" s="158">
        <f t="shared" si="2"/>
        <v>2102500</v>
      </c>
      <c r="I26" s="158">
        <f t="shared" si="3"/>
        <v>1008</v>
      </c>
      <c r="J26" s="158">
        <f t="shared" si="3"/>
        <v>2100000</v>
      </c>
      <c r="K26" s="158">
        <f t="shared" si="4"/>
        <v>1059.6</v>
      </c>
      <c r="L26" s="158">
        <f t="shared" si="4"/>
        <v>2207500</v>
      </c>
      <c r="M26" s="158">
        <f t="shared" si="5"/>
        <v>1027.2</v>
      </c>
      <c r="N26" s="158">
        <f t="shared" si="5"/>
        <v>2140000</v>
      </c>
      <c r="O26" s="149">
        <v>8.8</v>
      </c>
      <c r="P26" s="149">
        <v>15.5</v>
      </c>
      <c r="Q26" s="151">
        <f t="shared" si="23"/>
        <v>0.0001328501678078616</v>
      </c>
      <c r="R26" s="151">
        <f t="shared" si="24"/>
        <v>0.0002808832119366217</v>
      </c>
      <c r="S26" s="151" t="s">
        <v>238</v>
      </c>
      <c r="T26" s="171">
        <v>0.99</v>
      </c>
      <c r="U26" s="157">
        <f t="shared" si="25"/>
        <v>0.00027904601457359084</v>
      </c>
      <c r="V26" s="157">
        <f t="shared" si="26"/>
        <v>0.0012222215438323278</v>
      </c>
      <c r="W26" s="157">
        <f t="shared" si="27"/>
        <v>0.0005899830022413063</v>
      </c>
      <c r="X26" s="157">
        <f t="shared" si="6"/>
        <v>0.002584125549816921</v>
      </c>
      <c r="Y26" s="157">
        <f t="shared" si="7"/>
        <v>0.0013407238935169404</v>
      </c>
      <c r="Z26" s="157">
        <f t="shared" si="8"/>
        <v>0.0013965873890801463</v>
      </c>
      <c r="AA26" s="157">
        <f t="shared" si="9"/>
        <v>0.0028346733748643885</v>
      </c>
      <c r="AB26" s="157">
        <f t="shared" si="10"/>
        <v>0.002952784765483738</v>
      </c>
      <c r="AC26" s="157">
        <f t="shared" si="11"/>
        <v>0.001339129691503246</v>
      </c>
      <c r="AD26" s="157">
        <f t="shared" si="12"/>
        <v>0.001394926761982548</v>
      </c>
      <c r="AE26" s="157">
        <f t="shared" si="13"/>
        <v>0.0028313027763211492</v>
      </c>
      <c r="AF26" s="157">
        <f t="shared" si="14"/>
        <v>0.00294927372533453</v>
      </c>
      <c r="AG26" s="157">
        <f t="shared" si="15"/>
        <v>0.001407680378092103</v>
      </c>
      <c r="AH26" s="157">
        <f t="shared" si="16"/>
        <v>0.0014663337271792738</v>
      </c>
      <c r="AI26" s="157">
        <f t="shared" si="17"/>
        <v>0.002976238513680446</v>
      </c>
      <c r="AJ26" s="157">
        <f t="shared" si="18"/>
        <v>0.0031002484517504646</v>
      </c>
      <c r="AK26" s="157">
        <f t="shared" si="19"/>
        <v>0.0013646369237223556</v>
      </c>
      <c r="AL26" s="157">
        <f t="shared" si="20"/>
        <v>0.0014214967955441203</v>
      </c>
      <c r="AM26" s="157">
        <f t="shared" si="21"/>
        <v>0.0028852323530129806</v>
      </c>
      <c r="AN26" s="157">
        <f t="shared" si="22"/>
        <v>0.0030054503677218545</v>
      </c>
    </row>
    <row r="27" spans="1:40" ht="12">
      <c r="A27" s="98" t="s">
        <v>229</v>
      </c>
      <c r="B27" s="153" t="s">
        <v>246</v>
      </c>
      <c r="C27" s="158">
        <v>1200</v>
      </c>
      <c r="D27" s="158">
        <f>5000000*0.5</f>
        <v>2500000</v>
      </c>
      <c r="E27" s="158">
        <f t="shared" si="0"/>
        <v>210.0456621004566</v>
      </c>
      <c r="F27" s="158">
        <f t="shared" si="1"/>
        <v>1840000</v>
      </c>
      <c r="G27" s="158">
        <f t="shared" si="2"/>
        <v>1009.1999999999999</v>
      </c>
      <c r="H27" s="158">
        <f t="shared" si="2"/>
        <v>2102500</v>
      </c>
      <c r="I27" s="158">
        <f t="shared" si="3"/>
        <v>1008</v>
      </c>
      <c r="J27" s="158">
        <f t="shared" si="3"/>
        <v>2100000</v>
      </c>
      <c r="K27" s="158">
        <f t="shared" si="4"/>
        <v>1059.6</v>
      </c>
      <c r="L27" s="158">
        <f t="shared" si="4"/>
        <v>2207500</v>
      </c>
      <c r="M27" s="158">
        <f t="shared" si="5"/>
        <v>1027.2</v>
      </c>
      <c r="N27" s="158">
        <f t="shared" si="5"/>
        <v>2140000</v>
      </c>
      <c r="O27" s="149">
        <v>8.8</v>
      </c>
      <c r="P27" s="149">
        <v>15.5</v>
      </c>
      <c r="Q27" s="151">
        <f t="shared" si="23"/>
        <v>0.0001328501678078616</v>
      </c>
      <c r="R27" s="151">
        <f t="shared" si="24"/>
        <v>0.0002808832119366217</v>
      </c>
      <c r="S27" s="151" t="s">
        <v>234</v>
      </c>
      <c r="T27" s="173">
        <v>0.99</v>
      </c>
      <c r="U27" s="157">
        <f t="shared" si="25"/>
        <v>0.00027904601457359084</v>
      </c>
      <c r="V27" s="157">
        <f t="shared" si="26"/>
        <v>0.0012222215438323278</v>
      </c>
      <c r="W27" s="157">
        <f t="shared" si="27"/>
        <v>0.0005899830022413063</v>
      </c>
      <c r="X27" s="157">
        <f t="shared" si="6"/>
        <v>0.002584125549816921</v>
      </c>
      <c r="Y27" s="157">
        <f t="shared" si="7"/>
        <v>0.0013407238935169404</v>
      </c>
      <c r="Z27" s="157">
        <f t="shared" si="8"/>
        <v>0.0013965873890801463</v>
      </c>
      <c r="AA27" s="157">
        <f t="shared" si="9"/>
        <v>0.0028346733748643885</v>
      </c>
      <c r="AB27" s="157">
        <f t="shared" si="10"/>
        <v>0.002952784765483738</v>
      </c>
      <c r="AC27" s="157">
        <f t="shared" si="11"/>
        <v>0.001339129691503246</v>
      </c>
      <c r="AD27" s="157">
        <f t="shared" si="12"/>
        <v>0.001394926761982548</v>
      </c>
      <c r="AE27" s="157">
        <f t="shared" si="13"/>
        <v>0.0028313027763211492</v>
      </c>
      <c r="AF27" s="157">
        <f t="shared" si="14"/>
        <v>0.00294927372533453</v>
      </c>
      <c r="AG27" s="157">
        <f t="shared" si="15"/>
        <v>0.001407680378092103</v>
      </c>
      <c r="AH27" s="157">
        <f t="shared" si="16"/>
        <v>0.0014663337271792738</v>
      </c>
      <c r="AI27" s="157">
        <f t="shared" si="17"/>
        <v>0.002976238513680446</v>
      </c>
      <c r="AJ27" s="157">
        <f t="shared" si="18"/>
        <v>0.0031002484517504646</v>
      </c>
      <c r="AK27" s="157">
        <f t="shared" si="19"/>
        <v>0.0013646369237223556</v>
      </c>
      <c r="AL27" s="157">
        <f t="shared" si="20"/>
        <v>0.0014214967955441203</v>
      </c>
      <c r="AM27" s="157">
        <f t="shared" si="21"/>
        <v>0.0028852323530129806</v>
      </c>
      <c r="AN27" s="157">
        <f t="shared" si="22"/>
        <v>0.0030054503677218545</v>
      </c>
    </row>
    <row r="28" spans="1:40" ht="12">
      <c r="A28" s="98" t="s">
        <v>229</v>
      </c>
      <c r="B28" s="153" t="s">
        <v>247</v>
      </c>
      <c r="C28" s="158">
        <v>1201</v>
      </c>
      <c r="D28" s="158">
        <f aca="true" t="shared" si="28" ref="D28:D33">5000000*0.25</f>
        <v>1250000</v>
      </c>
      <c r="E28" s="158">
        <f t="shared" si="0"/>
        <v>105.0228310502283</v>
      </c>
      <c r="F28" s="158">
        <f t="shared" si="1"/>
        <v>920000</v>
      </c>
      <c r="G28" s="158">
        <f t="shared" si="2"/>
        <v>1010.0409999999999</v>
      </c>
      <c r="H28" s="158">
        <f t="shared" si="2"/>
        <v>1051250</v>
      </c>
      <c r="I28" s="158">
        <f t="shared" si="3"/>
        <v>1008.8399999999999</v>
      </c>
      <c r="J28" s="158">
        <f t="shared" si="3"/>
        <v>1050000</v>
      </c>
      <c r="K28" s="158">
        <f t="shared" si="4"/>
        <v>1060.483</v>
      </c>
      <c r="L28" s="158">
        <f t="shared" si="4"/>
        <v>1103750</v>
      </c>
      <c r="M28" s="158">
        <f t="shared" si="5"/>
        <v>1028.056</v>
      </c>
      <c r="N28" s="158">
        <f t="shared" si="5"/>
        <v>1070000</v>
      </c>
      <c r="O28" s="149">
        <v>8.8</v>
      </c>
      <c r="P28" s="149">
        <v>15.5</v>
      </c>
      <c r="Q28" s="151">
        <f t="shared" si="23"/>
        <v>0.0001328501678078616</v>
      </c>
      <c r="R28" s="151">
        <f t="shared" si="24"/>
        <v>0.0002808832119366217</v>
      </c>
      <c r="S28" s="151" t="s">
        <v>234</v>
      </c>
      <c r="T28" s="173">
        <v>0.99</v>
      </c>
      <c r="U28" s="157">
        <f t="shared" si="25"/>
        <v>0.00013952300728679542</v>
      </c>
      <c r="V28" s="157">
        <f t="shared" si="26"/>
        <v>0.0006111107719161639</v>
      </c>
      <c r="W28" s="157">
        <f t="shared" si="27"/>
        <v>0.00029499150112065315</v>
      </c>
      <c r="X28" s="157">
        <f t="shared" si="6"/>
        <v>0.0012920627749084606</v>
      </c>
      <c r="Y28" s="157">
        <f t="shared" si="7"/>
        <v>0.0013418411634282046</v>
      </c>
      <c r="Z28" s="157">
        <f t="shared" si="8"/>
        <v>0.0006982936945400731</v>
      </c>
      <c r="AA28" s="157">
        <f t="shared" si="9"/>
        <v>0.0028370356026767756</v>
      </c>
      <c r="AB28" s="157">
        <f t="shared" si="10"/>
        <v>0.001476392382741869</v>
      </c>
      <c r="AC28" s="157">
        <f t="shared" si="11"/>
        <v>0.001340245632912832</v>
      </c>
      <c r="AD28" s="157">
        <f t="shared" si="12"/>
        <v>0.000697463380991274</v>
      </c>
      <c r="AE28" s="157">
        <f t="shared" si="13"/>
        <v>0.0028336621953014168</v>
      </c>
      <c r="AF28" s="157">
        <f t="shared" si="14"/>
        <v>0.001474636862667265</v>
      </c>
      <c r="AG28" s="157">
        <f t="shared" si="15"/>
        <v>0.0014088534450738461</v>
      </c>
      <c r="AH28" s="157">
        <f t="shared" si="16"/>
        <v>0.0007331668635896369</v>
      </c>
      <c r="AI28" s="157">
        <f t="shared" si="17"/>
        <v>0.002978718712441846</v>
      </c>
      <c r="AJ28" s="157">
        <f t="shared" si="18"/>
        <v>0.0015501242258752323</v>
      </c>
      <c r="AK28" s="157">
        <f t="shared" si="19"/>
        <v>0.001365774121158791</v>
      </c>
      <c r="AL28" s="157">
        <f t="shared" si="20"/>
        <v>0.0007107483977720602</v>
      </c>
      <c r="AM28" s="157">
        <f t="shared" si="21"/>
        <v>0.0028876367133071584</v>
      </c>
      <c r="AN28" s="157">
        <f t="shared" si="22"/>
        <v>0.0015027251838609272</v>
      </c>
    </row>
    <row r="29" spans="1:40" ht="12">
      <c r="A29" s="98" t="s">
        <v>229</v>
      </c>
      <c r="B29" s="153" t="s">
        <v>248</v>
      </c>
      <c r="C29" s="158">
        <v>1202</v>
      </c>
      <c r="D29" s="158">
        <f t="shared" si="28"/>
        <v>1250000</v>
      </c>
      <c r="E29" s="158">
        <f t="shared" si="0"/>
        <v>105.0228310502283</v>
      </c>
      <c r="F29" s="158">
        <f t="shared" si="1"/>
        <v>920000</v>
      </c>
      <c r="G29" s="158">
        <f t="shared" si="2"/>
        <v>1010.882</v>
      </c>
      <c r="H29" s="158">
        <f t="shared" si="2"/>
        <v>1051250</v>
      </c>
      <c r="I29" s="158">
        <f t="shared" si="3"/>
        <v>1009.68</v>
      </c>
      <c r="J29" s="158">
        <f t="shared" si="3"/>
        <v>1050000</v>
      </c>
      <c r="K29" s="158">
        <f t="shared" si="4"/>
        <v>1061.366</v>
      </c>
      <c r="L29" s="158">
        <f t="shared" si="4"/>
        <v>1103750</v>
      </c>
      <c r="M29" s="158">
        <f t="shared" si="5"/>
        <v>1028.912</v>
      </c>
      <c r="N29" s="158">
        <f t="shared" si="5"/>
        <v>1070000</v>
      </c>
      <c r="O29" s="149">
        <v>8.8</v>
      </c>
      <c r="P29" s="149">
        <v>15.5</v>
      </c>
      <c r="Q29" s="151">
        <f t="shared" si="23"/>
        <v>0.0001328501678078616</v>
      </c>
      <c r="R29" s="151">
        <f t="shared" si="24"/>
        <v>0.0002808832119366217</v>
      </c>
      <c r="S29" s="151" t="s">
        <v>234</v>
      </c>
      <c r="T29" s="173">
        <v>0.99</v>
      </c>
      <c r="U29" s="157">
        <f t="shared" si="25"/>
        <v>0.00013952300728679542</v>
      </c>
      <c r="V29" s="157">
        <f t="shared" si="26"/>
        <v>0.0006111107719161639</v>
      </c>
      <c r="W29" s="157">
        <f t="shared" si="27"/>
        <v>0.00029499150112065315</v>
      </c>
      <c r="X29" s="157">
        <f t="shared" si="6"/>
        <v>0.0012920627749084606</v>
      </c>
      <c r="Y29" s="157">
        <f t="shared" si="7"/>
        <v>0.0013429584333394687</v>
      </c>
      <c r="Z29" s="157">
        <f t="shared" si="8"/>
        <v>0.0006982936945400731</v>
      </c>
      <c r="AA29" s="157">
        <f t="shared" si="9"/>
        <v>0.0028393978304891623</v>
      </c>
      <c r="AB29" s="157">
        <f t="shared" si="10"/>
        <v>0.001476392382741869</v>
      </c>
      <c r="AC29" s="157">
        <f t="shared" si="11"/>
        <v>0.001341361574322418</v>
      </c>
      <c r="AD29" s="157">
        <f t="shared" si="12"/>
        <v>0.000697463380991274</v>
      </c>
      <c r="AE29" s="157">
        <f t="shared" si="13"/>
        <v>0.0028360216142816843</v>
      </c>
      <c r="AF29" s="157">
        <f t="shared" si="14"/>
        <v>0.001474636862667265</v>
      </c>
      <c r="AG29" s="157">
        <f t="shared" si="15"/>
        <v>0.0014100265120555895</v>
      </c>
      <c r="AH29" s="157">
        <f t="shared" si="16"/>
        <v>0.0007331668635896369</v>
      </c>
      <c r="AI29" s="157">
        <f t="shared" si="17"/>
        <v>0.0029811989112032465</v>
      </c>
      <c r="AJ29" s="157">
        <f t="shared" si="18"/>
        <v>0.0015501242258752323</v>
      </c>
      <c r="AK29" s="157">
        <f t="shared" si="19"/>
        <v>0.0013669113185952263</v>
      </c>
      <c r="AL29" s="157">
        <f t="shared" si="20"/>
        <v>0.0007107483977720602</v>
      </c>
      <c r="AM29" s="157">
        <f t="shared" si="21"/>
        <v>0.002890041073601336</v>
      </c>
      <c r="AN29" s="157">
        <f t="shared" si="22"/>
        <v>0.0015027251838609272</v>
      </c>
    </row>
    <row r="30" spans="1:40" ht="12">
      <c r="A30" s="98" t="s">
        <v>229</v>
      </c>
      <c r="B30" s="153" t="s">
        <v>249</v>
      </c>
      <c r="C30" s="158">
        <v>1203</v>
      </c>
      <c r="D30" s="158">
        <f t="shared" si="28"/>
        <v>1250000</v>
      </c>
      <c r="E30" s="158">
        <f t="shared" si="0"/>
        <v>105.0228310502283</v>
      </c>
      <c r="F30" s="158">
        <f t="shared" si="1"/>
        <v>920000</v>
      </c>
      <c r="G30" s="158">
        <f t="shared" si="2"/>
        <v>1011.723</v>
      </c>
      <c r="H30" s="158">
        <f t="shared" si="2"/>
        <v>1051250</v>
      </c>
      <c r="I30" s="158">
        <f t="shared" si="3"/>
        <v>1010.52</v>
      </c>
      <c r="J30" s="158">
        <f t="shared" si="3"/>
        <v>1050000</v>
      </c>
      <c r="K30" s="158">
        <f t="shared" si="4"/>
        <v>1062.249</v>
      </c>
      <c r="L30" s="158">
        <f t="shared" si="4"/>
        <v>1103750</v>
      </c>
      <c r="M30" s="158">
        <f t="shared" si="5"/>
        <v>1029.768</v>
      </c>
      <c r="N30" s="158">
        <f t="shared" si="5"/>
        <v>1070000</v>
      </c>
      <c r="O30" s="149">
        <v>8.8</v>
      </c>
      <c r="P30" s="149">
        <v>15.5</v>
      </c>
      <c r="Q30" s="151">
        <f t="shared" si="23"/>
        <v>0.0001328501678078616</v>
      </c>
      <c r="R30" s="151">
        <f t="shared" si="24"/>
        <v>0.0002808832119366217</v>
      </c>
      <c r="S30" s="151" t="s">
        <v>234</v>
      </c>
      <c r="T30" s="173">
        <v>0.99</v>
      </c>
      <c r="U30" s="157">
        <f t="shared" si="25"/>
        <v>0.00013952300728679542</v>
      </c>
      <c r="V30" s="157">
        <f t="shared" si="26"/>
        <v>0.0006111107719161639</v>
      </c>
      <c r="W30" s="157">
        <f t="shared" si="27"/>
        <v>0.00029499150112065315</v>
      </c>
      <c r="X30" s="157">
        <f t="shared" si="6"/>
        <v>0.0012920627749084606</v>
      </c>
      <c r="Y30" s="157">
        <f t="shared" si="7"/>
        <v>0.001344075703250733</v>
      </c>
      <c r="Z30" s="157">
        <f t="shared" si="8"/>
        <v>0.0006982936945400731</v>
      </c>
      <c r="AA30" s="157">
        <f t="shared" si="9"/>
        <v>0.0028417600583015494</v>
      </c>
      <c r="AB30" s="157">
        <f t="shared" si="10"/>
        <v>0.001476392382741869</v>
      </c>
      <c r="AC30" s="157">
        <f t="shared" si="11"/>
        <v>0.0013424775157320043</v>
      </c>
      <c r="AD30" s="157">
        <f t="shared" si="12"/>
        <v>0.000697463380991274</v>
      </c>
      <c r="AE30" s="157">
        <f t="shared" si="13"/>
        <v>0.002838381033261952</v>
      </c>
      <c r="AF30" s="157">
        <f t="shared" si="14"/>
        <v>0.001474636862667265</v>
      </c>
      <c r="AG30" s="157">
        <f t="shared" si="15"/>
        <v>0.0014111995790373332</v>
      </c>
      <c r="AH30" s="157">
        <f t="shared" si="16"/>
        <v>0.0007331668635896369</v>
      </c>
      <c r="AI30" s="157">
        <f t="shared" si="17"/>
        <v>0.0029836791099646467</v>
      </c>
      <c r="AJ30" s="157">
        <f t="shared" si="18"/>
        <v>0.0015501242258752323</v>
      </c>
      <c r="AK30" s="157">
        <f t="shared" si="19"/>
        <v>0.0013680485160316614</v>
      </c>
      <c r="AL30" s="157">
        <f t="shared" si="20"/>
        <v>0.0007107483977720602</v>
      </c>
      <c r="AM30" s="157">
        <f t="shared" si="21"/>
        <v>0.002892445433895513</v>
      </c>
      <c r="AN30" s="157">
        <f t="shared" si="22"/>
        <v>0.0015027251838609272</v>
      </c>
    </row>
    <row r="31" spans="1:40" ht="12">
      <c r="A31" s="98" t="s">
        <v>229</v>
      </c>
      <c r="B31" s="153" t="s">
        <v>250</v>
      </c>
      <c r="C31" s="158">
        <v>1204</v>
      </c>
      <c r="D31" s="158">
        <f t="shared" si="28"/>
        <v>1250000</v>
      </c>
      <c r="E31" s="158">
        <f t="shared" si="0"/>
        <v>105.0228310502283</v>
      </c>
      <c r="F31" s="158">
        <f t="shared" si="1"/>
        <v>920000</v>
      </c>
      <c r="G31" s="158">
        <f t="shared" si="2"/>
        <v>1012.564</v>
      </c>
      <c r="H31" s="158">
        <f t="shared" si="2"/>
        <v>1051250</v>
      </c>
      <c r="I31" s="158">
        <f t="shared" si="3"/>
        <v>1011.36</v>
      </c>
      <c r="J31" s="158">
        <f t="shared" si="3"/>
        <v>1050000</v>
      </c>
      <c r="K31" s="158">
        <f t="shared" si="4"/>
        <v>1063.132</v>
      </c>
      <c r="L31" s="158">
        <f t="shared" si="4"/>
        <v>1103750</v>
      </c>
      <c r="M31" s="158">
        <f t="shared" si="5"/>
        <v>1030.624</v>
      </c>
      <c r="N31" s="158">
        <f t="shared" si="5"/>
        <v>1070000</v>
      </c>
      <c r="O31" s="149">
        <v>8.8</v>
      </c>
      <c r="P31" s="149">
        <v>15.5</v>
      </c>
      <c r="Q31" s="151">
        <f t="shared" si="23"/>
        <v>0.0001328501678078616</v>
      </c>
      <c r="R31" s="151">
        <f t="shared" si="24"/>
        <v>0.0002808832119366217</v>
      </c>
      <c r="S31" s="151" t="s">
        <v>234</v>
      </c>
      <c r="T31" s="173">
        <v>0.99</v>
      </c>
      <c r="U31" s="157">
        <f t="shared" si="25"/>
        <v>0.00013952300728679542</v>
      </c>
      <c r="V31" s="157">
        <f t="shared" si="26"/>
        <v>0.0006111107719161639</v>
      </c>
      <c r="W31" s="157">
        <f t="shared" si="27"/>
        <v>0.00029499150112065315</v>
      </c>
      <c r="X31" s="157">
        <f t="shared" si="6"/>
        <v>0.0012920627749084606</v>
      </c>
      <c r="Y31" s="157">
        <f t="shared" si="7"/>
        <v>0.001345192973161997</v>
      </c>
      <c r="Z31" s="157">
        <f t="shared" si="8"/>
        <v>0.0006982936945400731</v>
      </c>
      <c r="AA31" s="157">
        <f t="shared" si="9"/>
        <v>0.002844122286113936</v>
      </c>
      <c r="AB31" s="157">
        <f t="shared" si="10"/>
        <v>0.001476392382741869</v>
      </c>
      <c r="AC31" s="157">
        <f t="shared" si="11"/>
        <v>0.0013435934571415903</v>
      </c>
      <c r="AD31" s="157">
        <f t="shared" si="12"/>
        <v>0.000697463380991274</v>
      </c>
      <c r="AE31" s="157">
        <f t="shared" si="13"/>
        <v>0.0028407404522422194</v>
      </c>
      <c r="AF31" s="157">
        <f t="shared" si="14"/>
        <v>0.001474636862667265</v>
      </c>
      <c r="AG31" s="157">
        <f t="shared" si="15"/>
        <v>0.0014123726460190764</v>
      </c>
      <c r="AH31" s="157">
        <f t="shared" si="16"/>
        <v>0.0007331668635896369</v>
      </c>
      <c r="AI31" s="157">
        <f t="shared" si="17"/>
        <v>0.0029861593087260477</v>
      </c>
      <c r="AJ31" s="157">
        <f t="shared" si="18"/>
        <v>0.0015501242258752323</v>
      </c>
      <c r="AK31" s="157">
        <f t="shared" si="19"/>
        <v>0.0013691857134680969</v>
      </c>
      <c r="AL31" s="157">
        <f t="shared" si="20"/>
        <v>0.0007107483977720602</v>
      </c>
      <c r="AM31" s="157">
        <f t="shared" si="21"/>
        <v>0.0028948497941896903</v>
      </c>
      <c r="AN31" s="157">
        <f t="shared" si="22"/>
        <v>0.0015027251838609272</v>
      </c>
    </row>
    <row r="32" spans="1:40" ht="12">
      <c r="A32" s="98" t="s">
        <v>229</v>
      </c>
      <c r="B32" s="153" t="s">
        <v>251</v>
      </c>
      <c r="C32" s="158">
        <v>1205</v>
      </c>
      <c r="D32" s="158">
        <f t="shared" si="28"/>
        <v>1250000</v>
      </c>
      <c r="E32" s="158">
        <f t="shared" si="0"/>
        <v>105.0228310502283</v>
      </c>
      <c r="F32" s="158">
        <f t="shared" si="1"/>
        <v>920000</v>
      </c>
      <c r="G32" s="158">
        <f t="shared" si="2"/>
        <v>1013.405</v>
      </c>
      <c r="H32" s="158">
        <f t="shared" si="2"/>
        <v>1051250</v>
      </c>
      <c r="I32" s="158">
        <f t="shared" si="3"/>
        <v>1012.1999999999999</v>
      </c>
      <c r="J32" s="158">
        <f t="shared" si="3"/>
        <v>1050000</v>
      </c>
      <c r="K32" s="158">
        <f t="shared" si="4"/>
        <v>1064.015</v>
      </c>
      <c r="L32" s="158">
        <f t="shared" si="4"/>
        <v>1103750</v>
      </c>
      <c r="M32" s="158">
        <f t="shared" si="5"/>
        <v>1031.48</v>
      </c>
      <c r="N32" s="158">
        <f t="shared" si="5"/>
        <v>1070000</v>
      </c>
      <c r="O32" s="149">
        <v>8.8</v>
      </c>
      <c r="P32" s="149">
        <v>15.5</v>
      </c>
      <c r="Q32" s="151">
        <f t="shared" si="23"/>
        <v>0.0001328501678078616</v>
      </c>
      <c r="R32" s="151">
        <f t="shared" si="24"/>
        <v>0.0002808832119366217</v>
      </c>
      <c r="S32" s="151" t="s">
        <v>234</v>
      </c>
      <c r="T32" s="173">
        <v>0.99</v>
      </c>
      <c r="U32" s="157">
        <f t="shared" si="25"/>
        <v>0.00013952300728679542</v>
      </c>
      <c r="V32" s="157">
        <f t="shared" si="26"/>
        <v>0.0006111107719161639</v>
      </c>
      <c r="W32" s="157">
        <f t="shared" si="27"/>
        <v>0.00029499150112065315</v>
      </c>
      <c r="X32" s="157">
        <f t="shared" si="6"/>
        <v>0.0012920627749084606</v>
      </c>
      <c r="Y32" s="157">
        <f t="shared" si="7"/>
        <v>0.001346310243073261</v>
      </c>
      <c r="Z32" s="157">
        <f t="shared" si="8"/>
        <v>0.0006982936945400731</v>
      </c>
      <c r="AA32" s="157">
        <f t="shared" si="9"/>
        <v>0.002846484513926323</v>
      </c>
      <c r="AB32" s="157">
        <f t="shared" si="10"/>
        <v>0.001476392382741869</v>
      </c>
      <c r="AC32" s="157">
        <f t="shared" si="11"/>
        <v>0.0013447093985511764</v>
      </c>
      <c r="AD32" s="157">
        <f t="shared" si="12"/>
        <v>0.000697463380991274</v>
      </c>
      <c r="AE32" s="157">
        <f t="shared" si="13"/>
        <v>0.002843099871222487</v>
      </c>
      <c r="AF32" s="157">
        <f t="shared" si="14"/>
        <v>0.001474636862667265</v>
      </c>
      <c r="AG32" s="157">
        <f t="shared" si="15"/>
        <v>0.00141354571300082</v>
      </c>
      <c r="AH32" s="157">
        <f t="shared" si="16"/>
        <v>0.0007331668635896369</v>
      </c>
      <c r="AI32" s="157">
        <f t="shared" si="17"/>
        <v>0.0029886395074874483</v>
      </c>
      <c r="AJ32" s="157">
        <f t="shared" si="18"/>
        <v>0.0015501242258752323</v>
      </c>
      <c r="AK32" s="157">
        <f t="shared" si="19"/>
        <v>0.0013703229109045321</v>
      </c>
      <c r="AL32" s="157">
        <f t="shared" si="20"/>
        <v>0.0007107483977720602</v>
      </c>
      <c r="AM32" s="157">
        <f t="shared" si="21"/>
        <v>0.002897254154483868</v>
      </c>
      <c r="AN32" s="157">
        <f t="shared" si="22"/>
        <v>0.0015027251838609272</v>
      </c>
    </row>
    <row r="33" spans="1:40" ht="12">
      <c r="A33" s="98" t="s">
        <v>229</v>
      </c>
      <c r="B33" s="153" t="s">
        <v>252</v>
      </c>
      <c r="C33" s="158">
        <v>1206</v>
      </c>
      <c r="D33" s="158">
        <f t="shared" si="28"/>
        <v>1250000</v>
      </c>
      <c r="E33" s="158">
        <f t="shared" si="0"/>
        <v>105.0228310502283</v>
      </c>
      <c r="F33" s="158">
        <f t="shared" si="1"/>
        <v>920000</v>
      </c>
      <c r="G33" s="158">
        <f t="shared" si="2"/>
        <v>1014.246</v>
      </c>
      <c r="H33" s="158">
        <f t="shared" si="2"/>
        <v>1051250</v>
      </c>
      <c r="I33" s="158">
        <f t="shared" si="3"/>
        <v>1013.04</v>
      </c>
      <c r="J33" s="158">
        <f t="shared" si="3"/>
        <v>1050000</v>
      </c>
      <c r="K33" s="158">
        <f t="shared" si="4"/>
        <v>1064.898</v>
      </c>
      <c r="L33" s="158">
        <f t="shared" si="4"/>
        <v>1103750</v>
      </c>
      <c r="M33" s="158">
        <f t="shared" si="5"/>
        <v>1032.336</v>
      </c>
      <c r="N33" s="158">
        <f t="shared" si="5"/>
        <v>1070000</v>
      </c>
      <c r="O33" s="149">
        <v>8.8</v>
      </c>
      <c r="P33" s="149">
        <v>15.5</v>
      </c>
      <c r="Q33" s="151">
        <f t="shared" si="23"/>
        <v>0.0001328501678078616</v>
      </c>
      <c r="R33" s="151">
        <f t="shared" si="24"/>
        <v>0.0002808832119366217</v>
      </c>
      <c r="S33" s="151" t="s">
        <v>234</v>
      </c>
      <c r="T33" s="173">
        <v>0.99</v>
      </c>
      <c r="U33" s="157">
        <f t="shared" si="25"/>
        <v>0.00013952300728679542</v>
      </c>
      <c r="V33" s="157">
        <f t="shared" si="26"/>
        <v>0.0006111107719161639</v>
      </c>
      <c r="W33" s="157">
        <f t="shared" si="27"/>
        <v>0.00029499150112065315</v>
      </c>
      <c r="X33" s="157">
        <f t="shared" si="6"/>
        <v>0.0012920627749084606</v>
      </c>
      <c r="Y33" s="157">
        <f t="shared" si="7"/>
        <v>0.001347427512984525</v>
      </c>
      <c r="Z33" s="157">
        <f t="shared" si="8"/>
        <v>0.0006982936945400731</v>
      </c>
      <c r="AA33" s="157">
        <f t="shared" si="9"/>
        <v>0.0028488467417387107</v>
      </c>
      <c r="AB33" s="157">
        <f t="shared" si="10"/>
        <v>0.001476392382741869</v>
      </c>
      <c r="AC33" s="157">
        <f t="shared" si="11"/>
        <v>0.0013458253399607624</v>
      </c>
      <c r="AD33" s="157">
        <f t="shared" si="12"/>
        <v>0.000697463380991274</v>
      </c>
      <c r="AE33" s="157">
        <f t="shared" si="13"/>
        <v>0.0028454592902027545</v>
      </c>
      <c r="AF33" s="157">
        <f t="shared" si="14"/>
        <v>0.001474636862667265</v>
      </c>
      <c r="AG33" s="157">
        <f t="shared" si="15"/>
        <v>0.0014147187799825633</v>
      </c>
      <c r="AH33" s="157">
        <f t="shared" si="16"/>
        <v>0.0007331668635896369</v>
      </c>
      <c r="AI33" s="157">
        <f t="shared" si="17"/>
        <v>0.002991119706248848</v>
      </c>
      <c r="AJ33" s="157">
        <f t="shared" si="18"/>
        <v>0.0015501242258752323</v>
      </c>
      <c r="AK33" s="157">
        <f t="shared" si="19"/>
        <v>0.0013714601083409674</v>
      </c>
      <c r="AL33" s="157">
        <f t="shared" si="20"/>
        <v>0.0007107483977720602</v>
      </c>
      <c r="AM33" s="157">
        <f t="shared" si="21"/>
        <v>0.0028996585147780455</v>
      </c>
      <c r="AN33" s="157">
        <f t="shared" si="22"/>
        <v>0.0015027251838609272</v>
      </c>
    </row>
    <row r="34" spans="1:40" ht="12">
      <c r="A34" s="98" t="s">
        <v>229</v>
      </c>
      <c r="B34" s="153" t="s">
        <v>253</v>
      </c>
      <c r="C34" s="158">
        <v>1200</v>
      </c>
      <c r="D34" s="158">
        <v>5000000</v>
      </c>
      <c r="E34" s="158">
        <f t="shared" si="0"/>
        <v>420.0913242009132</v>
      </c>
      <c r="F34" s="158">
        <f t="shared" si="1"/>
        <v>3680000</v>
      </c>
      <c r="G34" s="158">
        <f t="shared" si="2"/>
        <v>1009.1999999999999</v>
      </c>
      <c r="H34" s="158">
        <f t="shared" si="2"/>
        <v>4205000</v>
      </c>
      <c r="I34" s="158">
        <f t="shared" si="3"/>
        <v>1008</v>
      </c>
      <c r="J34" s="158">
        <f t="shared" si="3"/>
        <v>4200000</v>
      </c>
      <c r="K34" s="158">
        <f t="shared" si="4"/>
        <v>1059.6</v>
      </c>
      <c r="L34" s="158">
        <f t="shared" si="4"/>
        <v>4415000</v>
      </c>
      <c r="M34" s="158">
        <f t="shared" si="5"/>
        <v>1027.2</v>
      </c>
      <c r="N34" s="158">
        <f t="shared" si="5"/>
        <v>4280000</v>
      </c>
      <c r="O34" s="149">
        <v>8.8</v>
      </c>
      <c r="P34" s="149">
        <v>15.5</v>
      </c>
      <c r="Q34" s="151">
        <f t="shared" si="23"/>
        <v>0.0001328501678078616</v>
      </c>
      <c r="R34" s="151">
        <f t="shared" si="24"/>
        <v>0.0002808832119366217</v>
      </c>
      <c r="S34" s="151" t="s">
        <v>254</v>
      </c>
      <c r="T34" s="173">
        <v>0.99</v>
      </c>
      <c r="U34" s="147">
        <f t="shared" si="25"/>
        <v>0.0005580920291471817</v>
      </c>
      <c r="V34" s="157">
        <f t="shared" si="26"/>
        <v>0.0024444430876646556</v>
      </c>
      <c r="W34" s="147">
        <f t="shared" si="27"/>
        <v>0.0011799660044826126</v>
      </c>
      <c r="X34" s="157">
        <f t="shared" si="6"/>
        <v>0.005168251099633842</v>
      </c>
      <c r="Y34" s="157">
        <f t="shared" si="7"/>
        <v>0.0013407238935169404</v>
      </c>
      <c r="Z34" s="157">
        <f t="shared" si="8"/>
        <v>0.0027931747781602925</v>
      </c>
      <c r="AA34" s="157">
        <f t="shared" si="9"/>
        <v>0.0028346733748643885</v>
      </c>
      <c r="AB34" s="157">
        <f t="shared" si="10"/>
        <v>0.005905569530967476</v>
      </c>
      <c r="AC34" s="157">
        <f t="shared" si="11"/>
        <v>0.001339129691503246</v>
      </c>
      <c r="AD34" s="157">
        <f t="shared" si="12"/>
        <v>0.002789853523965096</v>
      </c>
      <c r="AE34" s="157">
        <f t="shared" si="13"/>
        <v>0.0028313027763211492</v>
      </c>
      <c r="AF34" s="157">
        <f t="shared" si="14"/>
        <v>0.00589854745066906</v>
      </c>
      <c r="AG34" s="157">
        <f t="shared" si="15"/>
        <v>0.001407680378092103</v>
      </c>
      <c r="AH34" s="157">
        <f t="shared" si="16"/>
        <v>0.0029326674543585477</v>
      </c>
      <c r="AI34" s="157">
        <f t="shared" si="17"/>
        <v>0.002976238513680446</v>
      </c>
      <c r="AJ34" s="157">
        <f t="shared" si="18"/>
        <v>0.006200496903500929</v>
      </c>
      <c r="AK34" s="157">
        <f t="shared" si="19"/>
        <v>0.0013646369237223556</v>
      </c>
      <c r="AL34" s="157">
        <f t="shared" si="20"/>
        <v>0.0028429935910882407</v>
      </c>
      <c r="AM34" s="157">
        <f t="shared" si="21"/>
        <v>0.0028852323530129806</v>
      </c>
      <c r="AN34" s="157">
        <f t="shared" si="22"/>
        <v>0.006010900735443709</v>
      </c>
    </row>
    <row r="35" spans="1:40" ht="12">
      <c r="A35" s="360"/>
      <c r="B35" s="361"/>
      <c r="C35" s="361"/>
      <c r="D35" s="361"/>
      <c r="E35" s="361"/>
      <c r="F35" s="361"/>
      <c r="G35" s="361"/>
      <c r="H35" s="361"/>
      <c r="I35" s="361"/>
      <c r="J35" s="361"/>
      <c r="K35" s="361"/>
      <c r="L35" s="361"/>
      <c r="M35" s="361"/>
      <c r="N35" s="361"/>
      <c r="O35" s="361"/>
      <c r="P35" s="361"/>
      <c r="Q35" s="361"/>
      <c r="R35" s="361"/>
      <c r="S35" s="361"/>
      <c r="T35" s="362"/>
      <c r="U35" s="145">
        <f aca="true" t="shared" si="29" ref="U35:AN35">SUM(U16:U34)</f>
        <v>0.04440444135129712</v>
      </c>
      <c r="V35" s="145">
        <f t="shared" si="29"/>
        <v>0.19449145311868132</v>
      </c>
      <c r="W35" s="145">
        <f t="shared" si="29"/>
        <v>0.09412852922884814</v>
      </c>
      <c r="X35" s="145">
        <f t="shared" si="29"/>
        <v>0.4122829580223547</v>
      </c>
      <c r="Y35" s="164">
        <f t="shared" si="29"/>
        <v>0.28300298862614276</v>
      </c>
      <c r="Z35" s="164">
        <f t="shared" si="29"/>
        <v>0.22223819575110187</v>
      </c>
      <c r="AA35" s="164">
        <f t="shared" si="29"/>
        <v>0.598937395380988</v>
      </c>
      <c r="AB35" s="164">
        <f t="shared" si="29"/>
        <v>0.47110049958804406</v>
      </c>
      <c r="AC35" s="164">
        <f t="shared" si="29"/>
        <v>0.28266648091077295</v>
      </c>
      <c r="AD35" s="164">
        <f t="shared" si="29"/>
        <v>0.2219739410593646</v>
      </c>
      <c r="AE35" s="164">
        <f t="shared" si="29"/>
        <v>0.5982252224970628</v>
      </c>
      <c r="AF35" s="164">
        <f t="shared" si="29"/>
        <v>0.4705403325255136</v>
      </c>
      <c r="AG35" s="164">
        <f t="shared" si="29"/>
        <v>0.29713631267168145</v>
      </c>
      <c r="AH35" s="164">
        <f t="shared" si="29"/>
        <v>0.2333368928040701</v>
      </c>
      <c r="AI35" s="164">
        <f t="shared" si="29"/>
        <v>0.6288486565058411</v>
      </c>
      <c r="AJ35" s="164">
        <f t="shared" si="29"/>
        <v>0.4946275162143198</v>
      </c>
      <c r="AK35" s="164">
        <f t="shared" si="29"/>
        <v>0.28805060435669255</v>
      </c>
      <c r="AL35" s="164">
        <f t="shared" si="29"/>
        <v>0.22620201612716195</v>
      </c>
      <c r="AM35" s="164">
        <f t="shared" si="29"/>
        <v>0.6096199886398639</v>
      </c>
      <c r="AN35" s="164">
        <f t="shared" si="29"/>
        <v>0.47950300552599956</v>
      </c>
    </row>
    <row r="36" spans="1:40" ht="12">
      <c r="A36" s="370" t="s">
        <v>255</v>
      </c>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2"/>
    </row>
    <row r="37" spans="1:40" ht="12">
      <c r="A37" s="98" t="s">
        <v>256</v>
      </c>
      <c r="B37" s="153" t="s">
        <v>257</v>
      </c>
      <c r="C37" s="154">
        <v>22</v>
      </c>
      <c r="D37" s="158">
        <f>C37*8760</f>
        <v>192720</v>
      </c>
      <c r="E37" s="158">
        <f aca="true" t="shared" si="30" ref="E37:F41">C37*$C$5</f>
        <v>16.192</v>
      </c>
      <c r="F37" s="158">
        <f t="shared" si="30"/>
        <v>141841.91999999998</v>
      </c>
      <c r="G37" s="158">
        <f aca="true" t="shared" si="31" ref="G37:H41">$C$6*C37</f>
        <v>18.502</v>
      </c>
      <c r="H37" s="158">
        <f t="shared" si="31"/>
        <v>162077.52</v>
      </c>
      <c r="I37" s="158">
        <f aca="true" t="shared" si="32" ref="I37:J41">$C$7*C37</f>
        <v>18.48</v>
      </c>
      <c r="J37" s="158">
        <f t="shared" si="32"/>
        <v>161884.8</v>
      </c>
      <c r="K37" s="158">
        <f aca="true" t="shared" si="33" ref="K37:L41">$C$8*C37</f>
        <v>19.426000000000002</v>
      </c>
      <c r="L37" s="158">
        <f t="shared" si="33"/>
        <v>170171.76</v>
      </c>
      <c r="M37" s="158">
        <f aca="true" t="shared" si="34" ref="M37:N41">$C$9*C37</f>
        <v>18.832</v>
      </c>
      <c r="N37" s="158">
        <f t="shared" si="34"/>
        <v>164968.32</v>
      </c>
      <c r="O37" s="149">
        <v>8.8</v>
      </c>
      <c r="P37" s="149">
        <v>2.1</v>
      </c>
      <c r="Q37" s="151">
        <f>0.35*0.0032*(O37/5)^1.3/(P37/2)^1.4</f>
        <v>0.0021813204560936854</v>
      </c>
      <c r="R37" s="151">
        <f>0.74*0.0032*(O37/5)^1.3/(P37/2)^1.4</f>
        <v>0.004611934678598077</v>
      </c>
      <c r="S37" s="151" t="s">
        <v>234</v>
      </c>
      <c r="T37" s="99">
        <v>0.99</v>
      </c>
      <c r="U37" s="147">
        <f>E37*Q37*(100%-T37)</f>
        <v>0.0003531994082506898</v>
      </c>
      <c r="V37" s="147">
        <f>F37*Q37/2000*(100%-T37)</f>
        <v>0.0015470134081380215</v>
      </c>
      <c r="W37" s="147">
        <f>E37*R37*(100%-T37)</f>
        <v>0.0007467644631586013</v>
      </c>
      <c r="X37" s="147">
        <f>F37*R37/2000*(100%-T37)</f>
        <v>0.0032708283486346736</v>
      </c>
      <c r="Y37" s="157">
        <f>G37*Q37*(100%-T37)</f>
        <v>0.000403587910786454</v>
      </c>
      <c r="Z37" s="157">
        <f>H37*Q37/2000*(100%-T37)</f>
        <v>0.0017677150492446689</v>
      </c>
      <c r="AA37" s="157">
        <f>G37*R37*(100%-T37)</f>
        <v>0.0008533001542342168</v>
      </c>
      <c r="AB37" s="157">
        <f>H37*R37/2000*(100%-T37)</f>
        <v>0.00373745467554587</v>
      </c>
      <c r="AC37" s="157">
        <f>I37*Q37*(100%-T37)</f>
        <v>0.00040310802028611345</v>
      </c>
      <c r="AD37" s="157">
        <f>J37*Q37/2000*(100%-T37)</f>
        <v>0.0017656131288531767</v>
      </c>
      <c r="AE37" s="157">
        <f>I37*R37*(100%-T37)</f>
        <v>0.0008522855286049254</v>
      </c>
      <c r="AF37" s="157">
        <f>J37*R37/2000*(100%-T37)</f>
        <v>0.0037330106152895725</v>
      </c>
      <c r="AG37" s="157">
        <f>K37*Q37*(100%-T37)</f>
        <v>0.0004237433118007597</v>
      </c>
      <c r="AH37" s="157">
        <f>L37*Q37/2000*(100%-T37)</f>
        <v>0.0018559957056873274</v>
      </c>
      <c r="AI37" s="157">
        <f>K37*R37*(100%-T37)</f>
        <v>0.0008959144306644632</v>
      </c>
      <c r="AJ37" s="157">
        <f>L37*R37/2000*(100%-T37)</f>
        <v>0.003924105206310349</v>
      </c>
      <c r="AK37" s="157">
        <f>M37*Q37*(100%-T37)</f>
        <v>0.00041078626829156323</v>
      </c>
      <c r="AL37" s="157">
        <f>N37*Q37/2000*(100%-T37)</f>
        <v>0.001799243855117047</v>
      </c>
      <c r="AM37" s="157">
        <f>M37*R37*(100%-T37)</f>
        <v>0.0008685195386735906</v>
      </c>
      <c r="AN37" s="157">
        <f>N37*R37/2000*(100%-T37)</f>
        <v>0.0038041155793903272</v>
      </c>
    </row>
    <row r="38" spans="1:40" ht="12">
      <c r="A38" s="98" t="s">
        <v>256</v>
      </c>
      <c r="B38" s="148" t="s">
        <v>258</v>
      </c>
      <c r="C38" s="149">
        <f>22*2</f>
        <v>44</v>
      </c>
      <c r="D38" s="150">
        <f>C38*8760*0.25</f>
        <v>96360</v>
      </c>
      <c r="E38" s="150">
        <f t="shared" si="30"/>
        <v>32.384</v>
      </c>
      <c r="F38" s="150">
        <f t="shared" si="30"/>
        <v>70920.95999999999</v>
      </c>
      <c r="G38" s="150">
        <f t="shared" si="31"/>
        <v>37.004</v>
      </c>
      <c r="H38" s="150">
        <f t="shared" si="31"/>
        <v>81038.76</v>
      </c>
      <c r="I38" s="150">
        <f t="shared" si="32"/>
        <v>36.96</v>
      </c>
      <c r="J38" s="150">
        <f t="shared" si="32"/>
        <v>80942.4</v>
      </c>
      <c r="K38" s="150">
        <f t="shared" si="33"/>
        <v>38.852000000000004</v>
      </c>
      <c r="L38" s="150">
        <f t="shared" si="33"/>
        <v>85085.88</v>
      </c>
      <c r="M38" s="150">
        <f t="shared" si="34"/>
        <v>37.664</v>
      </c>
      <c r="N38" s="150">
        <f t="shared" si="34"/>
        <v>82484.16</v>
      </c>
      <c r="O38" s="149">
        <v>8.8</v>
      </c>
      <c r="P38" s="149">
        <v>2.1</v>
      </c>
      <c r="Q38" s="151">
        <f>0.35*0.0032*(O38/5)^1.3/(P38/2)^1.4</f>
        <v>0.0021813204560936854</v>
      </c>
      <c r="R38" s="151">
        <f>0.74*0.0032*(O38/5)^1.3/(P38/2)^1.4</f>
        <v>0.004611934678598077</v>
      </c>
      <c r="S38" s="152" t="s">
        <v>259</v>
      </c>
      <c r="T38" s="152" t="s">
        <v>259</v>
      </c>
      <c r="U38" s="147">
        <f>E38*Q38</f>
        <v>0.0706398816501379</v>
      </c>
      <c r="V38" s="147">
        <f>F38*Q38/2000</f>
        <v>0.07735067040690101</v>
      </c>
      <c r="W38" s="147">
        <f>E38*R38</f>
        <v>0.14935289263172014</v>
      </c>
      <c r="X38" s="147">
        <f>F38*R38/2000</f>
        <v>0.16354141743173353</v>
      </c>
      <c r="Y38" s="157">
        <f>G38*Q38</f>
        <v>0.08071758215729073</v>
      </c>
      <c r="Z38" s="157">
        <f>H38*Q38/2000</f>
        <v>0.08838575246223336</v>
      </c>
      <c r="AA38" s="157">
        <f>G38*R38</f>
        <v>0.17066003084684322</v>
      </c>
      <c r="AB38" s="157">
        <f>H38*R38/2000</f>
        <v>0.18687273377729333</v>
      </c>
      <c r="AC38" s="157">
        <f>I38*Q38</f>
        <v>0.08062160405722262</v>
      </c>
      <c r="AD38" s="157">
        <f>J38*Q38/2000</f>
        <v>0.08828065644265876</v>
      </c>
      <c r="AE38" s="157">
        <f>I38*R38</f>
        <v>0.17045710572098494</v>
      </c>
      <c r="AF38" s="157">
        <f>J38*R38/2000</f>
        <v>0.18665053076447846</v>
      </c>
      <c r="AG38" s="157">
        <f>K38*Q38</f>
        <v>0.08474866236015187</v>
      </c>
      <c r="AH38" s="157">
        <f>L38*Q38/2000</f>
        <v>0.09279978528436629</v>
      </c>
      <c r="AI38" s="157">
        <f>K38*R38</f>
        <v>0.1791828861328925</v>
      </c>
      <c r="AJ38" s="157">
        <f>L38*R38/2000</f>
        <v>0.19620526031551727</v>
      </c>
      <c r="AK38" s="157">
        <f>M38*Q38</f>
        <v>0.08215725365831257</v>
      </c>
      <c r="AL38" s="157">
        <f>N38*Q38/2000</f>
        <v>0.08996219275585227</v>
      </c>
      <c r="AM38" s="157">
        <f>M38*R38</f>
        <v>0.17370390773471797</v>
      </c>
      <c r="AN38" s="157">
        <f>N38*R38/2000</f>
        <v>0.19020577896951618</v>
      </c>
    </row>
    <row r="39" spans="1:40" ht="12">
      <c r="A39" s="98" t="s">
        <v>256</v>
      </c>
      <c r="B39" s="153" t="s">
        <v>260</v>
      </c>
      <c r="C39" s="149">
        <v>22</v>
      </c>
      <c r="D39" s="150">
        <f>C39*8760*0.25</f>
        <v>48180</v>
      </c>
      <c r="E39" s="150">
        <f t="shared" si="30"/>
        <v>16.192</v>
      </c>
      <c r="F39" s="150">
        <f t="shared" si="30"/>
        <v>35460.479999999996</v>
      </c>
      <c r="G39" s="150">
        <f t="shared" si="31"/>
        <v>18.502</v>
      </c>
      <c r="H39" s="150">
        <f t="shared" si="31"/>
        <v>40519.38</v>
      </c>
      <c r="I39" s="150">
        <f t="shared" si="32"/>
        <v>18.48</v>
      </c>
      <c r="J39" s="150">
        <f t="shared" si="32"/>
        <v>40471.2</v>
      </c>
      <c r="K39" s="150">
        <f t="shared" si="33"/>
        <v>19.426000000000002</v>
      </c>
      <c r="L39" s="150">
        <f t="shared" si="33"/>
        <v>42542.94</v>
      </c>
      <c r="M39" s="150">
        <f t="shared" si="34"/>
        <v>18.832</v>
      </c>
      <c r="N39" s="150">
        <f t="shared" si="34"/>
        <v>41242.08</v>
      </c>
      <c r="O39" s="149">
        <v>8.8</v>
      </c>
      <c r="P39" s="149">
        <v>2.1</v>
      </c>
      <c r="Q39" s="151">
        <f>0.35*0.0032*(O39/5)^1.3/(P39/2)^1.4</f>
        <v>0.0021813204560936854</v>
      </c>
      <c r="R39" s="151">
        <f>0.74*0.0032*(O39/5)^1.3/(P39/2)^1.4</f>
        <v>0.004611934678598077</v>
      </c>
      <c r="S39" s="152" t="s">
        <v>259</v>
      </c>
      <c r="T39" s="152" t="s">
        <v>259</v>
      </c>
      <c r="U39" s="147">
        <f>E39*Q39</f>
        <v>0.03531994082506895</v>
      </c>
      <c r="V39" s="147">
        <f>F39*Q39/2000</f>
        <v>0.038675335203450505</v>
      </c>
      <c r="W39" s="147">
        <f>E39*R39</f>
        <v>0.07467644631586007</v>
      </c>
      <c r="X39" s="147">
        <f>D39*R39/2000</f>
        <v>0.11110150640742768</v>
      </c>
      <c r="Y39" s="157">
        <f>G39*Q39</f>
        <v>0.040358791078645366</v>
      </c>
      <c r="Z39" s="157">
        <f>H39*U39/2000</f>
        <v>0.7155710519342412</v>
      </c>
      <c r="AA39" s="157">
        <f>G39*R39</f>
        <v>0.08533001542342161</v>
      </c>
      <c r="AB39" s="157">
        <f>H39*R39/2000</f>
        <v>0.09343636688864666</v>
      </c>
      <c r="AC39" s="157">
        <f>K39*Y39</f>
        <v>0.784009875493765</v>
      </c>
      <c r="AD39" s="157">
        <f>J39*Q39/2000</f>
        <v>0.04414032822132938</v>
      </c>
      <c r="AE39" s="157">
        <f>I39*R39</f>
        <v>0.08522855286049247</v>
      </c>
      <c r="AF39" s="157">
        <f>J39*R39/2000</f>
        <v>0.09332526538223923</v>
      </c>
      <c r="AG39" s="157">
        <f>K39*Q39</f>
        <v>0.042374331180075935</v>
      </c>
      <c r="AH39" s="157">
        <f>L39*Q39/2000</f>
        <v>0.046399892642183145</v>
      </c>
      <c r="AI39" s="157">
        <f>K39*R39</f>
        <v>0.08959144306644624</v>
      </c>
      <c r="AJ39" s="157">
        <f>L39*R39/2000</f>
        <v>0.09810263015775864</v>
      </c>
      <c r="AK39" s="157">
        <f>M39*Q39</f>
        <v>0.041078626829156285</v>
      </c>
      <c r="AL39" s="157">
        <f>N39*Q39/2000</f>
        <v>0.04498109637792613</v>
      </c>
      <c r="AM39" s="157">
        <f>M39*R39</f>
        <v>0.08685195386735899</v>
      </c>
      <c r="AN39" s="157">
        <f>N39*R39/2000</f>
        <v>0.09510288948475809</v>
      </c>
    </row>
    <row r="40" spans="1:40" ht="12">
      <c r="A40" s="98" t="s">
        <v>256</v>
      </c>
      <c r="B40" s="148" t="s">
        <v>232</v>
      </c>
      <c r="C40" s="154">
        <f>22*2</f>
        <v>44</v>
      </c>
      <c r="D40" s="150">
        <f>C40*8760*0.25</f>
        <v>96360</v>
      </c>
      <c r="E40" s="150">
        <f t="shared" si="30"/>
        <v>32.384</v>
      </c>
      <c r="F40" s="150">
        <f t="shared" si="30"/>
        <v>70920.95999999999</v>
      </c>
      <c r="G40" s="150">
        <f t="shared" si="31"/>
        <v>37.004</v>
      </c>
      <c r="H40" s="150">
        <f t="shared" si="31"/>
        <v>81038.76</v>
      </c>
      <c r="I40" s="150">
        <f t="shared" si="32"/>
        <v>36.96</v>
      </c>
      <c r="J40" s="150">
        <f t="shared" si="32"/>
        <v>80942.4</v>
      </c>
      <c r="K40" s="150">
        <f t="shared" si="33"/>
        <v>38.852000000000004</v>
      </c>
      <c r="L40" s="150">
        <f t="shared" si="33"/>
        <v>85085.88</v>
      </c>
      <c r="M40" s="150">
        <f t="shared" si="34"/>
        <v>37.664</v>
      </c>
      <c r="N40" s="150">
        <f t="shared" si="34"/>
        <v>82484.16</v>
      </c>
      <c r="O40" s="155" t="s">
        <v>233</v>
      </c>
      <c r="P40" s="155" t="s">
        <v>233</v>
      </c>
      <c r="Q40" s="156">
        <v>0.00054</v>
      </c>
      <c r="R40" s="156">
        <v>0.0012</v>
      </c>
      <c r="S40" s="151" t="s">
        <v>234</v>
      </c>
      <c r="T40" s="99">
        <v>0.99</v>
      </c>
      <c r="U40" s="157">
        <f>E40*Q40*(100%-T40)</f>
        <v>0.00017487360000000015</v>
      </c>
      <c r="V40" s="157">
        <f>F40*Q40/2000*(100%-T40)</f>
        <v>0.00019148659200000014</v>
      </c>
      <c r="W40" s="157">
        <f>E40*R40*(100%-T40)</f>
        <v>0.0003886080000000003</v>
      </c>
      <c r="X40" s="157">
        <f>D40*R40/2000*(100%-T40)</f>
        <v>0.0005781600000000004</v>
      </c>
      <c r="Y40" s="157">
        <f>G40*Q40*(100%-T40)</f>
        <v>0.00019982160000000016</v>
      </c>
      <c r="Z40" s="157">
        <f>H40*Q40/2000*(100%-T40)</f>
        <v>0.0002188046520000002</v>
      </c>
      <c r="AA40" s="157">
        <f>G40*R40*(100%-T40)</f>
        <v>0.0004440480000000003</v>
      </c>
      <c r="AB40" s="157">
        <f>H40*R40/2000*(100%-T40)</f>
        <v>0.0004862325600000003</v>
      </c>
      <c r="AC40" s="157">
        <f>I40*Q40*(100%-T40)</f>
        <v>0.00019958400000000018</v>
      </c>
      <c r="AD40" s="157">
        <f>J40*Q40/2000*(100%-T40)</f>
        <v>0.00021854448000000018</v>
      </c>
      <c r="AE40" s="157">
        <f>I40*R40*(100%-T40)</f>
        <v>0.00044352000000000036</v>
      </c>
      <c r="AF40" s="157">
        <f>J40*R40/2000*(100%-T40)</f>
        <v>0.0004856544000000004</v>
      </c>
      <c r="AG40" s="157">
        <f>K40*Q40*(100%-T40)</f>
        <v>0.0002098008000000002</v>
      </c>
      <c r="AH40" s="157">
        <f>L40*Q40/2000*(100%-T40)</f>
        <v>0.00022973187600000024</v>
      </c>
      <c r="AI40" s="157">
        <f>K40*R40*(100%-T40)</f>
        <v>0.00046622400000000043</v>
      </c>
      <c r="AJ40" s="157">
        <f>L40*R40/2000*(100%-T40)</f>
        <v>0.0005105152800000004</v>
      </c>
      <c r="AK40" s="157">
        <f>M40*Q40*(100%-T40)</f>
        <v>0.0002033856000000002</v>
      </c>
      <c r="AL40" s="157">
        <f>N40*Q40/2000*(100%-T40)</f>
        <v>0.0002227072320000002</v>
      </c>
      <c r="AM40" s="157">
        <f>M40*R40*(100%-T40)</f>
        <v>0.00045196800000000035</v>
      </c>
      <c r="AN40" s="157">
        <f>N40*R40/2000*(100%-T40)</f>
        <v>0.0004949049600000005</v>
      </c>
    </row>
    <row r="41" spans="1:40" ht="12">
      <c r="A41" s="98" t="s">
        <v>256</v>
      </c>
      <c r="B41" s="153" t="s">
        <v>261</v>
      </c>
      <c r="C41" s="154">
        <v>22</v>
      </c>
      <c r="D41" s="150">
        <f>C41*8760*0.25</f>
        <v>48180</v>
      </c>
      <c r="E41" s="150">
        <f t="shared" si="30"/>
        <v>16.192</v>
      </c>
      <c r="F41" s="150">
        <f t="shared" si="30"/>
        <v>35460.479999999996</v>
      </c>
      <c r="G41" s="150">
        <f t="shared" si="31"/>
        <v>18.502</v>
      </c>
      <c r="H41" s="150">
        <f t="shared" si="31"/>
        <v>40519.38</v>
      </c>
      <c r="I41" s="150">
        <f t="shared" si="32"/>
        <v>18.48</v>
      </c>
      <c r="J41" s="150">
        <f t="shared" si="32"/>
        <v>40471.2</v>
      </c>
      <c r="K41" s="150">
        <f t="shared" si="33"/>
        <v>19.426000000000002</v>
      </c>
      <c r="L41" s="150">
        <f t="shared" si="33"/>
        <v>42542.94</v>
      </c>
      <c r="M41" s="150">
        <f t="shared" si="34"/>
        <v>18.832</v>
      </c>
      <c r="N41" s="150">
        <f t="shared" si="34"/>
        <v>41242.08</v>
      </c>
      <c r="O41" s="149">
        <v>8.8</v>
      </c>
      <c r="P41" s="149">
        <v>2.1</v>
      </c>
      <c r="Q41" s="151">
        <f>0.35*0.0032*(O41/5)^1.3/(P41/2)^1.4</f>
        <v>0.0021813204560936854</v>
      </c>
      <c r="R41" s="151">
        <f>0.74*0.0032*(O41/5)^1.3/(P41/2)^1.4</f>
        <v>0.004611934678598077</v>
      </c>
      <c r="S41" s="152" t="s">
        <v>259</v>
      </c>
      <c r="T41" s="152" t="s">
        <v>259</v>
      </c>
      <c r="U41" s="147">
        <f>E41*Q41</f>
        <v>0.03531994082506895</v>
      </c>
      <c r="V41" s="147">
        <f>F41*Q41/2000</f>
        <v>0.038675335203450505</v>
      </c>
      <c r="W41" s="147">
        <f>E41*R41</f>
        <v>0.07467644631586007</v>
      </c>
      <c r="X41" s="147">
        <f>F41*R41/2000</f>
        <v>0.08177070871586677</v>
      </c>
      <c r="Y41" s="157">
        <f>G41*Q41</f>
        <v>0.040358791078645366</v>
      </c>
      <c r="Z41" s="157">
        <f>H41*Q41/2000</f>
        <v>0.04419287623111668</v>
      </c>
      <c r="AA41" s="157">
        <f>G41*R41</f>
        <v>0.08533001542342161</v>
      </c>
      <c r="AB41" s="157">
        <f>H41*R41/2000</f>
        <v>0.09343636688864666</v>
      </c>
      <c r="AC41" s="157">
        <f>I41*Q41</f>
        <v>0.04031080202861131</v>
      </c>
      <c r="AD41" s="157">
        <f>J41*Q41/2000</f>
        <v>0.04414032822132938</v>
      </c>
      <c r="AE41" s="157">
        <f>I41*R41</f>
        <v>0.08522855286049247</v>
      </c>
      <c r="AF41" s="157">
        <f>J41*R41/2000</f>
        <v>0.09332526538223923</v>
      </c>
      <c r="AG41" s="157">
        <f>K41*Q41</f>
        <v>0.042374331180075935</v>
      </c>
      <c r="AH41" s="157">
        <f>L41*Q41/2000</f>
        <v>0.046399892642183145</v>
      </c>
      <c r="AI41" s="157">
        <f>K41*R41</f>
        <v>0.08959144306644624</v>
      </c>
      <c r="AJ41" s="157">
        <f>L41*R41/2000</f>
        <v>0.09810263015775864</v>
      </c>
      <c r="AK41" s="157">
        <f>M41*Q41</f>
        <v>0.041078626829156285</v>
      </c>
      <c r="AL41" s="157">
        <f>N41*Q41/2000</f>
        <v>0.04498109637792613</v>
      </c>
      <c r="AM41" s="157">
        <f>M41*R41</f>
        <v>0.08685195386735899</v>
      </c>
      <c r="AN41" s="157">
        <f>N41*R41/2000</f>
        <v>0.09510288948475809</v>
      </c>
    </row>
    <row r="42" spans="1:40" ht="12">
      <c r="A42" s="360"/>
      <c r="B42" s="361"/>
      <c r="C42" s="361"/>
      <c r="D42" s="361"/>
      <c r="E42" s="361"/>
      <c r="F42" s="361"/>
      <c r="G42" s="361"/>
      <c r="H42" s="361"/>
      <c r="I42" s="361"/>
      <c r="J42" s="361"/>
      <c r="K42" s="361"/>
      <c r="L42" s="361"/>
      <c r="M42" s="361"/>
      <c r="N42" s="361"/>
      <c r="O42" s="361"/>
      <c r="P42" s="361"/>
      <c r="Q42" s="361"/>
      <c r="R42" s="361"/>
      <c r="S42" s="361"/>
      <c r="T42" s="362"/>
      <c r="U42" s="145">
        <f>SUM(U37:U41)</f>
        <v>0.1418078363085265</v>
      </c>
      <c r="V42" s="145">
        <f aca="true" t="shared" si="35" ref="V42:AN42">SUM(V37:V41)</f>
        <v>0.15643984081394005</v>
      </c>
      <c r="W42" s="145">
        <f t="shared" si="35"/>
        <v>0.2998411577265989</v>
      </c>
      <c r="X42" s="145">
        <f t="shared" si="35"/>
        <v>0.3602626209036627</v>
      </c>
      <c r="Y42" s="164">
        <f t="shared" si="35"/>
        <v>0.1620385738253679</v>
      </c>
      <c r="Z42" s="164">
        <f t="shared" si="35"/>
        <v>0.8501362003288359</v>
      </c>
      <c r="AA42" s="164">
        <f t="shared" si="35"/>
        <v>0.3426174098479206</v>
      </c>
      <c r="AB42" s="164">
        <f t="shared" si="35"/>
        <v>0.37796915479013254</v>
      </c>
      <c r="AC42" s="164">
        <f t="shared" si="35"/>
        <v>0.905544973599885</v>
      </c>
      <c r="AD42" s="164">
        <f t="shared" si="35"/>
        <v>0.1785454704941707</v>
      </c>
      <c r="AE42" s="164">
        <f t="shared" si="35"/>
        <v>0.3422100169705748</v>
      </c>
      <c r="AF42" s="164">
        <f t="shared" si="35"/>
        <v>0.3775197265442465</v>
      </c>
      <c r="AG42" s="164">
        <f t="shared" si="35"/>
        <v>0.1701308688321045</v>
      </c>
      <c r="AH42" s="164">
        <f t="shared" si="35"/>
        <v>0.1876852981504199</v>
      </c>
      <c r="AI42" s="164">
        <f t="shared" si="35"/>
        <v>0.35972791069644944</v>
      </c>
      <c r="AJ42" s="164">
        <f t="shared" si="35"/>
        <v>0.3968451411173449</v>
      </c>
      <c r="AK42" s="164">
        <f t="shared" si="35"/>
        <v>0.1649286791849167</v>
      </c>
      <c r="AL42" s="164">
        <f t="shared" si="35"/>
        <v>0.18194633659882156</v>
      </c>
      <c r="AM42" s="164">
        <f t="shared" si="35"/>
        <v>0.3487283030081096</v>
      </c>
      <c r="AN42" s="164">
        <f t="shared" si="35"/>
        <v>0.38471057847842266</v>
      </c>
    </row>
    <row r="43" spans="1:40" ht="12">
      <c r="A43" s="370" t="s">
        <v>262</v>
      </c>
      <c r="B43" s="361"/>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2"/>
    </row>
    <row r="44" spans="1:40" ht="12">
      <c r="A44" s="98" t="s">
        <v>263</v>
      </c>
      <c r="B44" s="153" t="s">
        <v>264</v>
      </c>
      <c r="C44" s="149">
        <v>88</v>
      </c>
      <c r="D44" s="158">
        <f>C44*8760</f>
        <v>770880</v>
      </c>
      <c r="E44" s="158">
        <f>C44*$C$5</f>
        <v>64.768</v>
      </c>
      <c r="F44" s="158">
        <f>D44*$C$5</f>
        <v>567367.6799999999</v>
      </c>
      <c r="G44" s="158">
        <f>$C$6*C44</f>
        <v>74.008</v>
      </c>
      <c r="H44" s="158">
        <f>$C$6*D44</f>
        <v>648310.08</v>
      </c>
      <c r="I44" s="158">
        <f>$C$7*C44</f>
        <v>73.92</v>
      </c>
      <c r="J44" s="158">
        <f>$C$7*D44</f>
        <v>647539.2</v>
      </c>
      <c r="K44" s="158">
        <f>$C$8*C44</f>
        <v>77.70400000000001</v>
      </c>
      <c r="L44" s="158">
        <f>$C$8*D44</f>
        <v>680687.04</v>
      </c>
      <c r="M44" s="158">
        <f>$C$9*C44</f>
        <v>75.328</v>
      </c>
      <c r="N44" s="158">
        <f>$C$9*D44</f>
        <v>659873.28</v>
      </c>
      <c r="O44" s="149">
        <v>8.8</v>
      </c>
      <c r="P44" s="149">
        <v>27</v>
      </c>
      <c r="Q44" s="151">
        <f>0.35*0.0032*(O44/5)^1.3/(P44/2)^1.4</f>
        <v>6.10825578446231E-05</v>
      </c>
      <c r="R44" s="151">
        <f>0.74*0.0032*(O44/5)^1.3/(P44/2)^1.4</f>
        <v>0.0001291459794429174</v>
      </c>
      <c r="S44" s="159" t="s">
        <v>234</v>
      </c>
      <c r="T44" s="100">
        <v>0.99</v>
      </c>
      <c r="U44" s="175">
        <f>E44*Q44*(100%-T44)</f>
        <v>3.9561951064805526E-05</v>
      </c>
      <c r="V44" s="175">
        <f>F44*Q44/2000*(100%-T44)</f>
        <v>0.00017328134566384817</v>
      </c>
      <c r="W44" s="175">
        <f>E44*R44*(100%-T44)</f>
        <v>8.364526796558881E-05</v>
      </c>
      <c r="X44" s="175">
        <f>F44*R44/2000*(100%-T44)</f>
        <v>0.0003663662736892789</v>
      </c>
      <c r="Y44" s="176">
        <f>G44*Q44*(100%-T44)</f>
        <v>4.5205979409648704E-05</v>
      </c>
      <c r="Z44" s="176">
        <f>H44*Q44/2000*(100%-T44)</f>
        <v>0.0001980021898142613</v>
      </c>
      <c r="AA44" s="176">
        <f>G44*R44*(100%-T44)</f>
        <v>9.557835646611438E-05</v>
      </c>
      <c r="AB44" s="176">
        <f>H44*R44/2000*(100%-T44)</f>
        <v>0.000418633201321581</v>
      </c>
      <c r="AC44" s="176">
        <f>I44*Q44*(100%-T44)</f>
        <v>4.515222675874544E-05</v>
      </c>
      <c r="AD44" s="176">
        <f>J44*Q44/2000*(100%-T44)</f>
        <v>0.00019776675320330495</v>
      </c>
      <c r="AE44" s="176">
        <f>I44*R44*(100%-T44)</f>
        <v>9.546470800420461E-05</v>
      </c>
      <c r="AF44" s="176">
        <f>J44*R44/2000*(100%-T44)</f>
        <v>0.00041813542105841625</v>
      </c>
      <c r="AG44" s="176">
        <f>K44*Q44*(100%-T44)</f>
        <v>4.746359074758598E-05</v>
      </c>
      <c r="AH44" s="176">
        <f>L44*Q44/2000*(100%-T44)</f>
        <v>0.00020789052747442657</v>
      </c>
      <c r="AI44" s="176">
        <f>K44*R44*(100%-T44)</f>
        <v>0.00010035159186632463</v>
      </c>
      <c r="AJ44" s="176">
        <f>L44*R44/2000*(100%-T44)</f>
        <v>0.00043953997237450185</v>
      </c>
      <c r="AK44" s="176">
        <f>M44*Q44*(100%-T44)</f>
        <v>4.601226917319773E-05</v>
      </c>
      <c r="AL44" s="176">
        <f>N44*Q44/2000*(100%-T44)</f>
        <v>0.00020153373897860603</v>
      </c>
      <c r="AM44" s="176">
        <f>M44*R44*(100%-T44)</f>
        <v>9.728308339476092E-05</v>
      </c>
      <c r="AN44" s="176">
        <f>N44*R44/2000*(100%-T44)</f>
        <v>0.00042609990526905274</v>
      </c>
    </row>
    <row r="45" spans="1:40" ht="12">
      <c r="A45" s="98" t="s">
        <v>263</v>
      </c>
      <c r="B45" s="153" t="s">
        <v>265</v>
      </c>
      <c r="C45" s="149">
        <v>59</v>
      </c>
      <c r="D45" s="158">
        <f>C45*8760</f>
        <v>516840</v>
      </c>
      <c r="E45" s="158">
        <f>C45*$C$5</f>
        <v>43.424</v>
      </c>
      <c r="F45" s="158">
        <f>D45*$C$5</f>
        <v>380394.24</v>
      </c>
      <c r="G45" s="158">
        <f>$C$6*C45</f>
        <v>49.619</v>
      </c>
      <c r="H45" s="158">
        <f>$C$6*D45</f>
        <v>434662.44</v>
      </c>
      <c r="I45" s="158">
        <f>$C$7*C45</f>
        <v>49.559999999999995</v>
      </c>
      <c r="J45" s="158">
        <f>$C$7*D45</f>
        <v>434145.6</v>
      </c>
      <c r="K45" s="158">
        <f>$C$8*C45</f>
        <v>52.097</v>
      </c>
      <c r="L45" s="158">
        <f>$C$8*D45</f>
        <v>456369.72000000003</v>
      </c>
      <c r="M45" s="158">
        <f>$C$9*C45</f>
        <v>50.504</v>
      </c>
      <c r="N45" s="158">
        <f>$C$9*D45</f>
        <v>442415.04</v>
      </c>
      <c r="O45" s="149">
        <v>8.8</v>
      </c>
      <c r="P45" s="149">
        <v>27</v>
      </c>
      <c r="Q45" s="151">
        <f>0.35*0.0032*(O45/5)^1.3/(P45/2)^1.4</f>
        <v>6.10825578446231E-05</v>
      </c>
      <c r="R45" s="151">
        <f>0.74*0.0032*(O45/5)^1.3/(P45/2)^1.4</f>
        <v>0.0001291459794429174</v>
      </c>
      <c r="S45" s="159" t="s">
        <v>234</v>
      </c>
      <c r="T45" s="100">
        <v>0.99</v>
      </c>
      <c r="U45" s="175">
        <f>E45*Q45*(100%-T45)</f>
        <v>2.6524489918449158E-05</v>
      </c>
      <c r="V45" s="175">
        <f>F45*Q45/2000*(100%-T45)</f>
        <v>0.00011617726584280732</v>
      </c>
      <c r="W45" s="175">
        <f>E45*R45*(100%-T45)</f>
        <v>5.6080350113292496E-05</v>
      </c>
      <c r="X45" s="175">
        <f>F45*R45/2000*(100%-T45)</f>
        <v>0.00024563193349622114</v>
      </c>
      <c r="Y45" s="176">
        <f>G45*Q45*(100%-T45)</f>
        <v>3.0308554376923564E-05</v>
      </c>
      <c r="Z45" s="176">
        <f>H45*Q45/2000*(100%-T45)</f>
        <v>0.0001327514681709252</v>
      </c>
      <c r="AA45" s="176">
        <f>G45*R45*(100%-T45)</f>
        <v>6.408094353978124E-05</v>
      </c>
      <c r="AB45" s="176">
        <f>H45*R45/2000*(100%-T45)</f>
        <v>0.00028067453270424185</v>
      </c>
      <c r="AC45" s="176">
        <f>I45*Q45*(100%-T45)</f>
        <v>3.027251566779523E-05</v>
      </c>
      <c r="AD45" s="176">
        <f>J45*Q45/2000*(100%-T45)</f>
        <v>0.00013259361862494312</v>
      </c>
      <c r="AE45" s="176">
        <f>I45*R45*(100%-T45)</f>
        <v>6.40047474119099E-05</v>
      </c>
      <c r="AF45" s="176">
        <f>J45*R45/2000*(100%-T45)</f>
        <v>0.00028034079366416544</v>
      </c>
      <c r="AG45" s="176">
        <f>K45*Q45*(100%-T45)</f>
        <v>3.1822180160313325E-05</v>
      </c>
      <c r="AH45" s="176">
        <f>L45*Q45/2000*(100%-T45)</f>
        <v>0.00013938114910217237</v>
      </c>
      <c r="AI45" s="176">
        <f>K45*R45*(100%-T45)</f>
        <v>6.728118091037673E-05</v>
      </c>
      <c r="AJ45" s="176">
        <f>L45*R45/2000*(100%-T45)</f>
        <v>0.00029469157238745013</v>
      </c>
      <c r="AK45" s="176">
        <f>M45*Q45*(100%-T45)</f>
        <v>3.084913501384847E-05</v>
      </c>
      <c r="AL45" s="176">
        <f>N45*Q45/2000*(100%-T45)</f>
        <v>0.00013511921136065633</v>
      </c>
      <c r="AM45" s="176">
        <f>M45*R45*(100%-T45)</f>
        <v>6.522388545785105E-05</v>
      </c>
      <c r="AN45" s="176">
        <f>N45*R45/2000*(100%-T45)</f>
        <v>0.00028568061830538765</v>
      </c>
    </row>
    <row r="46" spans="1:40" ht="12">
      <c r="A46" s="360"/>
      <c r="B46" s="361"/>
      <c r="C46" s="361"/>
      <c r="D46" s="361"/>
      <c r="E46" s="361"/>
      <c r="F46" s="361"/>
      <c r="G46" s="361"/>
      <c r="H46" s="361"/>
      <c r="I46" s="361"/>
      <c r="J46" s="361"/>
      <c r="K46" s="361"/>
      <c r="L46" s="361"/>
      <c r="M46" s="361"/>
      <c r="N46" s="361"/>
      <c r="O46" s="361"/>
      <c r="P46" s="361"/>
      <c r="Q46" s="361"/>
      <c r="R46" s="361"/>
      <c r="S46" s="361"/>
      <c r="T46" s="362"/>
      <c r="U46" s="177">
        <f>SUM(U44:U45)</f>
        <v>6.608644098325469E-05</v>
      </c>
      <c r="V46" s="177">
        <f aca="true" t="shared" si="36" ref="V46:AN46">SUM(V44:V45)</f>
        <v>0.00028945861150665546</v>
      </c>
      <c r="W46" s="177">
        <f t="shared" si="36"/>
        <v>0.0001397256180788813</v>
      </c>
      <c r="X46" s="177">
        <f t="shared" si="36"/>
        <v>0.0006119982071855</v>
      </c>
      <c r="Y46" s="178">
        <f t="shared" si="36"/>
        <v>7.551453378657227E-05</v>
      </c>
      <c r="Z46" s="178">
        <f t="shared" si="36"/>
        <v>0.0003307536579851865</v>
      </c>
      <c r="AA46" s="178">
        <f t="shared" si="36"/>
        <v>0.00015965930000589563</v>
      </c>
      <c r="AB46" s="178">
        <f t="shared" si="36"/>
        <v>0.0006993077340258229</v>
      </c>
      <c r="AC46" s="178">
        <f t="shared" si="36"/>
        <v>7.542474242654067E-05</v>
      </c>
      <c r="AD46" s="178">
        <f t="shared" si="36"/>
        <v>0.00033036037182824807</v>
      </c>
      <c r="AE46" s="178">
        <f t="shared" si="36"/>
        <v>0.00015946945541611452</v>
      </c>
      <c r="AF46" s="178">
        <f t="shared" si="36"/>
        <v>0.0006984762147225817</v>
      </c>
      <c r="AG46" s="178">
        <f t="shared" si="36"/>
        <v>7.92857709078993E-05</v>
      </c>
      <c r="AH46" s="178">
        <f t="shared" si="36"/>
        <v>0.0003472716765765989</v>
      </c>
      <c r="AI46" s="178">
        <f t="shared" si="36"/>
        <v>0.00016763277277670138</v>
      </c>
      <c r="AJ46" s="178">
        <f t="shared" si="36"/>
        <v>0.000734231544761952</v>
      </c>
      <c r="AK46" s="178">
        <f t="shared" si="36"/>
        <v>7.68614041870462E-05</v>
      </c>
      <c r="AL46" s="178">
        <f t="shared" si="36"/>
        <v>0.00033665295033926236</v>
      </c>
      <c r="AM46" s="178">
        <f t="shared" si="36"/>
        <v>0.00016250696885261197</v>
      </c>
      <c r="AN46" s="178">
        <f t="shared" si="36"/>
        <v>0.0007117805235744404</v>
      </c>
    </row>
    <row r="47" spans="1:40" ht="12">
      <c r="A47" s="368" t="s">
        <v>312</v>
      </c>
      <c r="B47" s="369"/>
      <c r="C47" s="369"/>
      <c r="D47" s="369"/>
      <c r="E47" s="369"/>
      <c r="F47" s="369"/>
      <c r="G47" s="369"/>
      <c r="H47" s="369"/>
      <c r="I47" s="369"/>
      <c r="J47" s="369"/>
      <c r="K47" s="369"/>
      <c r="L47" s="369"/>
      <c r="M47" s="369"/>
      <c r="N47" s="369"/>
      <c r="O47" s="369"/>
      <c r="P47" s="369"/>
      <c r="Q47" s="369"/>
      <c r="R47" s="369"/>
      <c r="S47" s="369"/>
      <c r="T47" s="369"/>
      <c r="U47" s="145">
        <f>U35+U42+U46</f>
        <v>0.18627836410080686</v>
      </c>
      <c r="V47" s="145">
        <f aca="true" t="shared" si="37" ref="V47:AN47">V35+V42+V46</f>
        <v>0.351220752544128</v>
      </c>
      <c r="W47" s="145">
        <f t="shared" si="37"/>
        <v>0.39410941257352594</v>
      </c>
      <c r="X47" s="145">
        <f t="shared" si="37"/>
        <v>0.7731575771332029</v>
      </c>
      <c r="Y47" s="164">
        <f t="shared" si="37"/>
        <v>0.44511707698529723</v>
      </c>
      <c r="Z47" s="164">
        <f t="shared" si="37"/>
        <v>1.072705149737923</v>
      </c>
      <c r="AA47" s="164">
        <f t="shared" si="37"/>
        <v>0.9417144645289146</v>
      </c>
      <c r="AB47" s="164">
        <f t="shared" si="37"/>
        <v>0.8497689621122024</v>
      </c>
      <c r="AC47" s="164">
        <f t="shared" si="37"/>
        <v>1.1882868792530845</v>
      </c>
      <c r="AD47" s="164">
        <f t="shared" si="37"/>
        <v>0.4008497719253636</v>
      </c>
      <c r="AE47" s="164">
        <f t="shared" si="37"/>
        <v>0.9405947089230537</v>
      </c>
      <c r="AF47" s="164">
        <f t="shared" si="37"/>
        <v>0.8487585352844826</v>
      </c>
      <c r="AG47" s="164">
        <f t="shared" si="37"/>
        <v>0.4673464672746938</v>
      </c>
      <c r="AH47" s="164">
        <f t="shared" si="37"/>
        <v>0.4213694626310666</v>
      </c>
      <c r="AI47" s="164">
        <f t="shared" si="37"/>
        <v>0.9887441999750672</v>
      </c>
      <c r="AJ47" s="164">
        <f t="shared" si="37"/>
        <v>0.8922068888764266</v>
      </c>
      <c r="AK47" s="164">
        <f t="shared" si="37"/>
        <v>0.45305614494579627</v>
      </c>
      <c r="AL47" s="164">
        <f t="shared" si="37"/>
        <v>0.40848500567632273</v>
      </c>
      <c r="AM47" s="164">
        <f t="shared" si="37"/>
        <v>0.9585107986168261</v>
      </c>
      <c r="AN47" s="164">
        <f t="shared" si="37"/>
        <v>0.8649253645279967</v>
      </c>
    </row>
    <row r="48" spans="1:40" ht="12">
      <c r="A48" s="58"/>
      <c r="B48" s="58"/>
      <c r="C48" s="160"/>
      <c r="D48" s="160"/>
      <c r="E48" s="160"/>
      <c r="F48" s="160"/>
      <c r="G48" s="160"/>
      <c r="H48" s="160"/>
      <c r="I48" s="160"/>
      <c r="J48" s="160"/>
      <c r="K48" s="160"/>
      <c r="L48" s="160"/>
      <c r="M48" s="160"/>
      <c r="N48" s="160"/>
      <c r="O48" s="160"/>
      <c r="P48" s="160"/>
      <c r="Q48" s="160"/>
      <c r="R48" s="160"/>
      <c r="S48" s="160"/>
      <c r="T48" s="160"/>
      <c r="U48" s="160"/>
      <c r="V48" s="160"/>
      <c r="W48" s="160"/>
      <c r="X48" s="160"/>
      <c r="Y48" s="7"/>
      <c r="Z48" s="7"/>
      <c r="AA48" s="7"/>
      <c r="AB48" s="7"/>
      <c r="AC48" s="7"/>
      <c r="AD48" s="7"/>
      <c r="AE48" s="7"/>
      <c r="AF48" s="7"/>
      <c r="AG48" s="7"/>
      <c r="AH48" s="7"/>
      <c r="AI48" s="7"/>
      <c r="AJ48" s="7"/>
      <c r="AK48" s="7"/>
      <c r="AL48" s="7"/>
      <c r="AM48" s="7"/>
      <c r="AN48" s="7"/>
    </row>
    <row r="49" spans="1:40" ht="12">
      <c r="A49" s="58" t="s">
        <v>266</v>
      </c>
      <c r="B49" s="58"/>
      <c r="C49" s="160"/>
      <c r="D49" s="160"/>
      <c r="E49" s="160"/>
      <c r="F49" s="160"/>
      <c r="G49" s="160"/>
      <c r="H49" s="160"/>
      <c r="I49" s="160"/>
      <c r="J49" s="160"/>
      <c r="K49" s="160"/>
      <c r="L49" s="160"/>
      <c r="M49" s="160"/>
      <c r="N49" s="160"/>
      <c r="O49" s="160"/>
      <c r="P49" s="160"/>
      <c r="Q49" s="160"/>
      <c r="R49" s="160"/>
      <c r="S49" s="160"/>
      <c r="T49" s="160"/>
      <c r="U49" s="160"/>
      <c r="V49" s="160"/>
      <c r="W49" s="160"/>
      <c r="X49" s="160"/>
      <c r="Y49" s="7"/>
      <c r="Z49" s="7"/>
      <c r="AA49" s="7"/>
      <c r="AB49" s="7"/>
      <c r="AC49" s="7"/>
      <c r="AD49" s="7"/>
      <c r="AE49" s="7"/>
      <c r="AF49" s="7"/>
      <c r="AG49" s="7"/>
      <c r="AH49" s="7"/>
      <c r="AI49" s="7"/>
      <c r="AJ49" s="7"/>
      <c r="AK49" s="7"/>
      <c r="AL49" s="7"/>
      <c r="AM49" s="7"/>
      <c r="AN49" s="7"/>
    </row>
    <row r="50" spans="1:40" ht="12">
      <c r="A50" s="58" t="s">
        <v>309</v>
      </c>
      <c r="B50" s="58"/>
      <c r="C50" s="160"/>
      <c r="D50" s="160"/>
      <c r="E50" s="160"/>
      <c r="F50" s="160"/>
      <c r="G50" s="160"/>
      <c r="H50" s="160"/>
      <c r="I50" s="160"/>
      <c r="J50" s="160"/>
      <c r="K50" s="160"/>
      <c r="L50" s="160"/>
      <c r="M50" s="160"/>
      <c r="N50" s="160"/>
      <c r="O50" s="160"/>
      <c r="P50" s="160"/>
      <c r="Q50" s="160"/>
      <c r="R50" s="160"/>
      <c r="S50" s="160"/>
      <c r="T50" s="160"/>
      <c r="U50" s="160"/>
      <c r="V50" s="160"/>
      <c r="W50" s="160"/>
      <c r="X50" s="160"/>
      <c r="Y50" s="7"/>
      <c r="Z50" s="7"/>
      <c r="AA50" s="7"/>
      <c r="AB50" s="7"/>
      <c r="AC50" s="7"/>
      <c r="AD50" s="7"/>
      <c r="AE50" s="7"/>
      <c r="AF50" s="7"/>
      <c r="AG50" s="7"/>
      <c r="AH50" s="7"/>
      <c r="AI50" s="7"/>
      <c r="AJ50" s="7"/>
      <c r="AK50" s="7"/>
      <c r="AL50" s="7"/>
      <c r="AM50" s="7"/>
      <c r="AN50" s="7"/>
    </row>
    <row r="51" spans="1:40" ht="12">
      <c r="A51" s="58" t="s">
        <v>267</v>
      </c>
      <c r="B51" s="58"/>
      <c r="C51" s="160"/>
      <c r="D51" s="160"/>
      <c r="E51" s="160"/>
      <c r="F51" s="160"/>
      <c r="G51" s="160"/>
      <c r="H51" s="160"/>
      <c r="I51" s="160"/>
      <c r="J51" s="160"/>
      <c r="K51" s="160"/>
      <c r="L51" s="160"/>
      <c r="M51" s="160"/>
      <c r="N51" s="160"/>
      <c r="O51" s="160"/>
      <c r="P51" s="160"/>
      <c r="Q51" s="160"/>
      <c r="R51" s="160"/>
      <c r="S51" s="160"/>
      <c r="T51" s="160"/>
      <c r="U51" s="160"/>
      <c r="V51" s="160"/>
      <c r="W51" s="160"/>
      <c r="X51" s="160"/>
      <c r="Y51" s="7"/>
      <c r="Z51" s="7"/>
      <c r="AA51" s="7"/>
      <c r="AB51" s="7"/>
      <c r="AC51" s="7"/>
      <c r="AD51" s="7"/>
      <c r="AE51" s="7"/>
      <c r="AF51" s="7"/>
      <c r="AG51" s="7"/>
      <c r="AH51" s="7"/>
      <c r="AI51" s="7"/>
      <c r="AJ51" s="7"/>
      <c r="AK51" s="7"/>
      <c r="AL51" s="7"/>
      <c r="AM51" s="7"/>
      <c r="AN51" s="7"/>
    </row>
    <row r="52" spans="1:40" ht="12">
      <c r="A52" s="58" t="s">
        <v>268</v>
      </c>
      <c r="B52" s="58"/>
      <c r="C52" s="160"/>
      <c r="D52" s="160"/>
      <c r="E52" s="160"/>
      <c r="F52" s="160"/>
      <c r="G52" s="160"/>
      <c r="H52" s="160"/>
      <c r="I52" s="160"/>
      <c r="J52" s="160"/>
      <c r="K52" s="160"/>
      <c r="L52" s="160"/>
      <c r="M52" s="160"/>
      <c r="N52" s="160"/>
      <c r="O52" s="160"/>
      <c r="P52" s="160"/>
      <c r="Q52" s="160"/>
      <c r="R52" s="160"/>
      <c r="S52" s="160"/>
      <c r="T52" s="160"/>
      <c r="U52" s="160"/>
      <c r="V52" s="160"/>
      <c r="W52" s="160"/>
      <c r="X52" s="160"/>
      <c r="Y52" s="7"/>
      <c r="Z52" s="7"/>
      <c r="AA52" s="7"/>
      <c r="AB52" s="7"/>
      <c r="AC52" s="7"/>
      <c r="AD52" s="7"/>
      <c r="AE52" s="7"/>
      <c r="AF52" s="7"/>
      <c r="AG52" s="7"/>
      <c r="AH52" s="7"/>
      <c r="AI52" s="7"/>
      <c r="AJ52" s="7"/>
      <c r="AK52" s="7"/>
      <c r="AL52" s="7"/>
      <c r="AM52" s="7"/>
      <c r="AN52" s="7"/>
    </row>
    <row r="53" spans="1:40" ht="12">
      <c r="A53" s="58" t="s">
        <v>269</v>
      </c>
      <c r="B53" s="58"/>
      <c r="C53" s="160"/>
      <c r="D53" s="160"/>
      <c r="E53" s="160"/>
      <c r="F53" s="160"/>
      <c r="G53" s="160"/>
      <c r="H53" s="160"/>
      <c r="I53" s="160"/>
      <c r="J53" s="160"/>
      <c r="K53" s="160"/>
      <c r="L53" s="160"/>
      <c r="M53" s="160"/>
      <c r="N53" s="160"/>
      <c r="O53" s="160"/>
      <c r="P53" s="160"/>
      <c r="Q53" s="160"/>
      <c r="R53" s="160"/>
      <c r="S53" s="160"/>
      <c r="T53" s="160"/>
      <c r="U53" s="160"/>
      <c r="V53" s="160"/>
      <c r="W53" s="160"/>
      <c r="X53" s="160"/>
      <c r="Y53" s="7"/>
      <c r="Z53" s="7"/>
      <c r="AA53" s="7"/>
      <c r="AB53" s="7"/>
      <c r="AC53" s="7"/>
      <c r="AD53" s="7"/>
      <c r="AE53" s="7"/>
      <c r="AF53" s="7"/>
      <c r="AG53" s="7"/>
      <c r="AH53" s="7"/>
      <c r="AI53" s="7"/>
      <c r="AJ53" s="7"/>
      <c r="AK53" s="7"/>
      <c r="AL53" s="7"/>
      <c r="AM53" s="7"/>
      <c r="AN53" s="7"/>
    </row>
    <row r="54" spans="1:40" ht="12">
      <c r="A54" s="58" t="s">
        <v>270</v>
      </c>
      <c r="B54" s="161"/>
      <c r="C54" s="160"/>
      <c r="D54" s="160"/>
      <c r="E54" s="160"/>
      <c r="F54" s="160"/>
      <c r="G54" s="160"/>
      <c r="H54" s="160"/>
      <c r="I54" s="160"/>
      <c r="J54" s="160"/>
      <c r="K54" s="160"/>
      <c r="L54" s="160"/>
      <c r="M54" s="160"/>
      <c r="N54" s="160"/>
      <c r="O54" s="160"/>
      <c r="P54" s="160"/>
      <c r="Q54" s="160"/>
      <c r="R54" s="160"/>
      <c r="S54" s="160"/>
      <c r="T54" s="160"/>
      <c r="U54" s="160"/>
      <c r="V54" s="160"/>
      <c r="W54" s="160"/>
      <c r="X54" s="160"/>
      <c r="Y54" s="7"/>
      <c r="Z54" s="7"/>
      <c r="AA54" s="7"/>
      <c r="AB54" s="7"/>
      <c r="AC54" s="7"/>
      <c r="AD54" s="7"/>
      <c r="AE54" s="7"/>
      <c r="AF54" s="7"/>
      <c r="AG54" s="7"/>
      <c r="AH54" s="7"/>
      <c r="AI54" s="7"/>
      <c r="AJ54" s="7"/>
      <c r="AK54" s="7"/>
      <c r="AL54" s="7"/>
      <c r="AM54" s="7"/>
      <c r="AN54" s="7"/>
    </row>
    <row r="55" spans="1:40" ht="12">
      <c r="A55" s="58" t="s">
        <v>271</v>
      </c>
      <c r="B55" s="161"/>
      <c r="C55" s="160"/>
      <c r="D55" s="160"/>
      <c r="E55" s="160"/>
      <c r="F55" s="160"/>
      <c r="G55" s="160"/>
      <c r="H55" s="160"/>
      <c r="I55" s="160"/>
      <c r="J55" s="160"/>
      <c r="K55" s="160"/>
      <c r="L55" s="160"/>
      <c r="M55" s="160"/>
      <c r="N55" s="160"/>
      <c r="O55" s="160"/>
      <c r="P55" s="160"/>
      <c r="Q55" s="160"/>
      <c r="R55" s="160"/>
      <c r="S55" s="160"/>
      <c r="T55" s="160"/>
      <c r="U55" s="160"/>
      <c r="V55" s="160"/>
      <c r="W55" s="160"/>
      <c r="X55" s="160"/>
      <c r="Y55" s="7"/>
      <c r="Z55" s="7"/>
      <c r="AA55" s="7"/>
      <c r="AB55" s="7"/>
      <c r="AC55" s="7"/>
      <c r="AD55" s="7"/>
      <c r="AE55" s="7"/>
      <c r="AF55" s="7"/>
      <c r="AG55" s="7"/>
      <c r="AH55" s="7"/>
      <c r="AI55" s="7"/>
      <c r="AJ55" s="7"/>
      <c r="AK55" s="7"/>
      <c r="AL55" s="7"/>
      <c r="AM55" s="7"/>
      <c r="AN55" s="7"/>
    </row>
    <row r="56" spans="1:40" ht="12">
      <c r="A56" s="58" t="s">
        <v>272</v>
      </c>
      <c r="B56" s="161"/>
      <c r="C56" s="160"/>
      <c r="D56" s="160"/>
      <c r="E56" s="160"/>
      <c r="F56" s="160"/>
      <c r="G56" s="160"/>
      <c r="H56" s="160"/>
      <c r="I56" s="160"/>
      <c r="J56" s="160"/>
      <c r="K56" s="160"/>
      <c r="L56" s="160"/>
      <c r="M56" s="160"/>
      <c r="N56" s="160"/>
      <c r="O56" s="160"/>
      <c r="P56" s="160"/>
      <c r="Q56" s="160"/>
      <c r="R56" s="160"/>
      <c r="S56" s="160"/>
      <c r="T56" s="160"/>
      <c r="U56" s="160"/>
      <c r="V56" s="160"/>
      <c r="W56" s="160"/>
      <c r="X56" s="160"/>
      <c r="Y56" s="7"/>
      <c r="Z56" s="7"/>
      <c r="AA56" s="7"/>
      <c r="AB56" s="7"/>
      <c r="AC56" s="7"/>
      <c r="AD56" s="7"/>
      <c r="AE56" s="7"/>
      <c r="AF56" s="7"/>
      <c r="AG56" s="7"/>
      <c r="AH56" s="7"/>
      <c r="AI56" s="7"/>
      <c r="AJ56" s="7"/>
      <c r="AK56" s="7"/>
      <c r="AL56" s="7"/>
      <c r="AM56" s="7"/>
      <c r="AN56" s="7"/>
    </row>
    <row r="57" spans="1:40" ht="12">
      <c r="A57" s="58" t="s">
        <v>323</v>
      </c>
      <c r="B57" s="161"/>
      <c r="C57" s="160"/>
      <c r="D57" s="160"/>
      <c r="E57" s="160"/>
      <c r="F57" s="160"/>
      <c r="G57" s="160"/>
      <c r="H57" s="160"/>
      <c r="I57" s="160"/>
      <c r="J57" s="160"/>
      <c r="K57" s="160"/>
      <c r="L57" s="160"/>
      <c r="M57" s="160"/>
      <c r="N57" s="160"/>
      <c r="O57" s="160"/>
      <c r="P57" s="160"/>
      <c r="Q57" s="160"/>
      <c r="R57" s="160"/>
      <c r="S57" s="160"/>
      <c r="T57" s="160"/>
      <c r="U57" s="160"/>
      <c r="V57" s="160"/>
      <c r="W57" s="160"/>
      <c r="X57" s="160"/>
      <c r="Y57" s="7"/>
      <c r="Z57" s="7"/>
      <c r="AA57" s="7"/>
      <c r="AB57" s="7"/>
      <c r="AC57" s="7"/>
      <c r="AD57" s="7"/>
      <c r="AE57" s="7"/>
      <c r="AF57" s="7"/>
      <c r="AG57" s="7"/>
      <c r="AH57" s="7"/>
      <c r="AI57" s="7"/>
      <c r="AJ57" s="7"/>
      <c r="AK57" s="7"/>
      <c r="AL57" s="7"/>
      <c r="AM57" s="7"/>
      <c r="AN57" s="7"/>
    </row>
    <row r="58" spans="1:40" ht="12">
      <c r="A58" s="58"/>
      <c r="B58" s="58"/>
      <c r="C58" s="160"/>
      <c r="D58" s="160"/>
      <c r="E58" s="160"/>
      <c r="F58" s="160"/>
      <c r="G58" s="160"/>
      <c r="H58" s="160"/>
      <c r="I58" s="160"/>
      <c r="J58" s="160"/>
      <c r="K58" s="160"/>
      <c r="L58" s="160"/>
      <c r="M58" s="160"/>
      <c r="N58" s="160"/>
      <c r="O58" s="160"/>
      <c r="P58" s="160"/>
      <c r="Q58" s="160"/>
      <c r="R58" s="160"/>
      <c r="S58" s="160"/>
      <c r="T58" s="160"/>
      <c r="U58" s="160"/>
      <c r="V58" s="160"/>
      <c r="W58" s="160"/>
      <c r="X58" s="160"/>
      <c r="Y58" s="7"/>
      <c r="Z58" s="7"/>
      <c r="AA58" s="7"/>
      <c r="AB58" s="7"/>
      <c r="AC58" s="7"/>
      <c r="AD58" s="7"/>
      <c r="AE58" s="7"/>
      <c r="AF58" s="7"/>
      <c r="AG58" s="7"/>
      <c r="AH58" s="7"/>
      <c r="AI58" s="7"/>
      <c r="AJ58" s="7"/>
      <c r="AK58" s="7"/>
      <c r="AL58" s="7"/>
      <c r="AM58" s="7"/>
      <c r="AN58" s="7"/>
    </row>
    <row r="59" spans="1:40" ht="12">
      <c r="A59" s="58"/>
      <c r="B59" s="101"/>
      <c r="C59" s="160"/>
      <c r="D59" s="160"/>
      <c r="E59" s="160"/>
      <c r="F59" s="160"/>
      <c r="G59" s="160"/>
      <c r="H59" s="160"/>
      <c r="I59" s="160"/>
      <c r="J59" s="160"/>
      <c r="K59" s="160"/>
      <c r="L59" s="160"/>
      <c r="M59" s="160"/>
      <c r="N59" s="160"/>
      <c r="O59" s="160"/>
      <c r="P59" s="160"/>
      <c r="Q59" s="160"/>
      <c r="R59" s="160"/>
      <c r="S59" s="160"/>
      <c r="T59" s="160"/>
      <c r="U59" s="160"/>
      <c r="V59" s="160"/>
      <c r="W59" s="160"/>
      <c r="X59" s="160"/>
      <c r="Y59" s="7"/>
      <c r="Z59" s="7"/>
      <c r="AA59" s="7"/>
      <c r="AB59" s="7"/>
      <c r="AC59" s="7"/>
      <c r="AD59" s="7"/>
      <c r="AE59" s="7"/>
      <c r="AF59" s="7"/>
      <c r="AG59" s="7"/>
      <c r="AH59" s="7"/>
      <c r="AI59" s="7"/>
      <c r="AJ59" s="7"/>
      <c r="AK59" s="7"/>
      <c r="AL59" s="7"/>
      <c r="AM59" s="7"/>
      <c r="AN59" s="7"/>
    </row>
    <row r="60" spans="1:40" ht="12">
      <c r="A60" s="101"/>
      <c r="B60" s="58"/>
      <c r="C60" s="160"/>
      <c r="D60" s="160"/>
      <c r="E60" s="160"/>
      <c r="F60" s="160"/>
      <c r="G60" s="160"/>
      <c r="H60" s="160"/>
      <c r="I60" s="160"/>
      <c r="J60" s="160"/>
      <c r="K60" s="160"/>
      <c r="L60" s="160"/>
      <c r="M60" s="160"/>
      <c r="N60" s="160"/>
      <c r="O60" s="160"/>
      <c r="P60" s="160"/>
      <c r="Q60" s="160"/>
      <c r="R60" s="160"/>
      <c r="S60" s="160"/>
      <c r="T60" s="160"/>
      <c r="U60" s="160"/>
      <c r="V60" s="160"/>
      <c r="W60" s="160"/>
      <c r="X60" s="160"/>
      <c r="Y60" s="7"/>
      <c r="Z60" s="7"/>
      <c r="AA60" s="7"/>
      <c r="AB60" s="7"/>
      <c r="AC60" s="7"/>
      <c r="AD60" s="7"/>
      <c r="AE60" s="7"/>
      <c r="AF60" s="7"/>
      <c r="AG60" s="7"/>
      <c r="AH60" s="7"/>
      <c r="AI60" s="7"/>
      <c r="AJ60" s="7"/>
      <c r="AK60" s="7"/>
      <c r="AL60" s="7"/>
      <c r="AM60" s="7"/>
      <c r="AN60" s="7"/>
    </row>
    <row r="61" spans="1:40" ht="12">
      <c r="A61" s="58"/>
      <c r="B61" s="58"/>
      <c r="C61" s="160"/>
      <c r="D61" s="160"/>
      <c r="E61" s="160"/>
      <c r="F61" s="160"/>
      <c r="G61" s="160"/>
      <c r="H61" s="160"/>
      <c r="I61" s="160"/>
      <c r="J61" s="160"/>
      <c r="K61" s="160"/>
      <c r="L61" s="160"/>
      <c r="M61" s="160"/>
      <c r="N61" s="160"/>
      <c r="O61" s="160"/>
      <c r="P61" s="160"/>
      <c r="Q61" s="160"/>
      <c r="R61" s="160"/>
      <c r="S61" s="160"/>
      <c r="T61" s="160"/>
      <c r="U61" s="160"/>
      <c r="V61" s="160"/>
      <c r="W61" s="160"/>
      <c r="X61" s="160"/>
      <c r="Y61" s="7"/>
      <c r="Z61" s="7"/>
      <c r="AA61" s="7"/>
      <c r="AB61" s="7"/>
      <c r="AC61" s="7"/>
      <c r="AD61" s="7"/>
      <c r="AE61" s="7"/>
      <c r="AF61" s="7"/>
      <c r="AG61" s="7"/>
      <c r="AH61" s="7"/>
      <c r="AI61" s="7"/>
      <c r="AJ61" s="7"/>
      <c r="AK61" s="7"/>
      <c r="AL61" s="7"/>
      <c r="AM61" s="7"/>
      <c r="AN61" s="7"/>
    </row>
    <row r="62" spans="1:40" ht="12">
      <c r="A62" s="58"/>
      <c r="B62" s="101"/>
      <c r="C62" s="160"/>
      <c r="D62" s="160"/>
      <c r="E62" s="160"/>
      <c r="F62" s="160"/>
      <c r="G62" s="160"/>
      <c r="H62" s="160"/>
      <c r="I62" s="160"/>
      <c r="J62" s="160"/>
      <c r="K62" s="160"/>
      <c r="L62" s="160"/>
      <c r="M62" s="160"/>
      <c r="N62" s="160"/>
      <c r="O62" s="160"/>
      <c r="P62" s="160"/>
      <c r="Q62" s="160"/>
      <c r="R62" s="160"/>
      <c r="S62" s="160"/>
      <c r="T62" s="160"/>
      <c r="U62" s="160"/>
      <c r="V62" s="160"/>
      <c r="W62" s="160"/>
      <c r="X62" s="160"/>
      <c r="Y62" s="7"/>
      <c r="Z62" s="7"/>
      <c r="AA62" s="7"/>
      <c r="AB62" s="7"/>
      <c r="AC62" s="7"/>
      <c r="AD62" s="7"/>
      <c r="AE62" s="7"/>
      <c r="AF62" s="7"/>
      <c r="AG62" s="7"/>
      <c r="AH62" s="7"/>
      <c r="AI62" s="7"/>
      <c r="AJ62" s="7"/>
      <c r="AK62" s="7"/>
      <c r="AL62" s="7"/>
      <c r="AM62" s="7"/>
      <c r="AN62" s="7"/>
    </row>
    <row r="63" spans="1:40" ht="12">
      <c r="A63" s="58"/>
      <c r="B63" s="101"/>
      <c r="C63" s="160"/>
      <c r="D63" s="160"/>
      <c r="E63" s="160"/>
      <c r="F63" s="160"/>
      <c r="G63" s="160"/>
      <c r="H63" s="160"/>
      <c r="I63" s="160"/>
      <c r="J63" s="160"/>
      <c r="K63" s="160"/>
      <c r="L63" s="160"/>
      <c r="M63" s="160"/>
      <c r="N63" s="160"/>
      <c r="O63" s="160"/>
      <c r="P63" s="160"/>
      <c r="Q63" s="160"/>
      <c r="R63" s="160"/>
      <c r="S63" s="160"/>
      <c r="T63" s="160"/>
      <c r="U63" s="160"/>
      <c r="V63" s="160"/>
      <c r="W63" s="160"/>
      <c r="X63" s="160"/>
      <c r="Y63" s="7"/>
      <c r="Z63" s="7"/>
      <c r="AA63" s="7"/>
      <c r="AB63" s="7"/>
      <c r="AC63" s="7"/>
      <c r="AD63" s="7"/>
      <c r="AE63" s="7"/>
      <c r="AF63" s="7"/>
      <c r="AG63" s="7"/>
      <c r="AH63" s="7"/>
      <c r="AI63" s="7"/>
      <c r="AJ63" s="7"/>
      <c r="AK63" s="7"/>
      <c r="AL63" s="7"/>
      <c r="AM63" s="7"/>
      <c r="AN63" s="7"/>
    </row>
    <row r="64" spans="1:40" ht="12">
      <c r="A64" s="58"/>
      <c r="B64" s="58"/>
      <c r="C64" s="160"/>
      <c r="D64" s="160"/>
      <c r="E64" s="160"/>
      <c r="F64" s="160"/>
      <c r="G64" s="160"/>
      <c r="H64" s="160"/>
      <c r="I64" s="160"/>
      <c r="J64" s="160"/>
      <c r="K64" s="160"/>
      <c r="L64" s="160"/>
      <c r="M64" s="160"/>
      <c r="N64" s="160"/>
      <c r="O64" s="160"/>
      <c r="P64" s="160"/>
      <c r="Q64" s="160"/>
      <c r="R64" s="160"/>
      <c r="S64" s="160"/>
      <c r="T64" s="160"/>
      <c r="U64" s="160"/>
      <c r="V64" s="160"/>
      <c r="W64" s="160"/>
      <c r="X64" s="160"/>
      <c r="Y64" s="7"/>
      <c r="Z64" s="7"/>
      <c r="AA64" s="7"/>
      <c r="AB64" s="7"/>
      <c r="AC64" s="7"/>
      <c r="AD64" s="7"/>
      <c r="AE64" s="7"/>
      <c r="AF64" s="7"/>
      <c r="AG64" s="7"/>
      <c r="AH64" s="7"/>
      <c r="AI64" s="7"/>
      <c r="AJ64" s="7"/>
      <c r="AK64" s="7"/>
      <c r="AL64" s="7"/>
      <c r="AM64" s="7"/>
      <c r="AN64" s="7"/>
    </row>
    <row r="65" spans="1:40" ht="12">
      <c r="A65" s="58"/>
      <c r="B65" s="58"/>
      <c r="C65" s="160"/>
      <c r="D65" s="160"/>
      <c r="E65" s="160"/>
      <c r="F65" s="160"/>
      <c r="G65" s="160"/>
      <c r="H65" s="160"/>
      <c r="I65" s="160"/>
      <c r="J65" s="160"/>
      <c r="K65" s="160"/>
      <c r="L65" s="160"/>
      <c r="M65" s="160"/>
      <c r="N65" s="160"/>
      <c r="O65" s="160"/>
      <c r="P65" s="160"/>
      <c r="Q65" s="160"/>
      <c r="R65" s="160"/>
      <c r="S65" s="160"/>
      <c r="T65" s="160"/>
      <c r="U65" s="160"/>
      <c r="V65" s="160"/>
      <c r="W65" s="160"/>
      <c r="X65" s="160"/>
      <c r="Y65" s="7"/>
      <c r="Z65" s="7"/>
      <c r="AA65" s="7"/>
      <c r="AB65" s="7"/>
      <c r="AC65" s="7"/>
      <c r="AD65" s="7"/>
      <c r="AE65" s="7"/>
      <c r="AF65" s="7"/>
      <c r="AG65" s="7"/>
      <c r="AH65" s="7"/>
      <c r="AI65" s="7"/>
      <c r="AJ65" s="7"/>
      <c r="AK65" s="7"/>
      <c r="AL65" s="7"/>
      <c r="AM65" s="7"/>
      <c r="AN65" s="7"/>
    </row>
    <row r="66" spans="1:40" ht="12">
      <c r="A66" s="58"/>
      <c r="B66" s="58"/>
      <c r="C66" s="160"/>
      <c r="D66" s="160"/>
      <c r="E66" s="160"/>
      <c r="F66" s="160"/>
      <c r="G66" s="160"/>
      <c r="H66" s="160"/>
      <c r="I66" s="160"/>
      <c r="J66" s="160"/>
      <c r="K66" s="160"/>
      <c r="L66" s="160"/>
      <c r="M66" s="160"/>
      <c r="N66" s="160"/>
      <c r="O66" s="160"/>
      <c r="P66" s="160"/>
      <c r="Q66" s="160"/>
      <c r="R66" s="160"/>
      <c r="S66" s="160"/>
      <c r="T66" s="160"/>
      <c r="U66" s="160"/>
      <c r="V66" s="160"/>
      <c r="W66" s="160"/>
      <c r="X66" s="160"/>
      <c r="Y66" s="7"/>
      <c r="Z66" s="7"/>
      <c r="AA66" s="7"/>
      <c r="AB66" s="7"/>
      <c r="AC66" s="7"/>
      <c r="AD66" s="7"/>
      <c r="AE66" s="7"/>
      <c r="AF66" s="7"/>
      <c r="AG66" s="7"/>
      <c r="AH66" s="7"/>
      <c r="AI66" s="7"/>
      <c r="AJ66" s="7"/>
      <c r="AK66" s="7"/>
      <c r="AL66" s="7"/>
      <c r="AM66" s="7"/>
      <c r="AN66" s="7"/>
    </row>
    <row r="67" spans="1:40" ht="12">
      <c r="A67" s="58"/>
      <c r="B67" s="58"/>
      <c r="C67" s="160"/>
      <c r="D67" s="160"/>
      <c r="E67" s="160"/>
      <c r="F67" s="160"/>
      <c r="G67" s="160"/>
      <c r="H67" s="160"/>
      <c r="I67" s="160"/>
      <c r="J67" s="160"/>
      <c r="K67" s="160"/>
      <c r="L67" s="160"/>
      <c r="M67" s="160"/>
      <c r="N67" s="160"/>
      <c r="O67" s="160"/>
      <c r="P67" s="160"/>
      <c r="Q67" s="160"/>
      <c r="R67" s="160"/>
      <c r="S67" s="160"/>
      <c r="T67" s="160"/>
      <c r="U67" s="160"/>
      <c r="V67" s="160"/>
      <c r="W67" s="160"/>
      <c r="X67" s="160"/>
      <c r="Y67" s="7"/>
      <c r="Z67" s="7"/>
      <c r="AA67" s="7"/>
      <c r="AB67" s="7"/>
      <c r="AC67" s="7"/>
      <c r="AD67" s="7"/>
      <c r="AE67" s="7"/>
      <c r="AF67" s="7"/>
      <c r="AG67" s="7"/>
      <c r="AH67" s="7"/>
      <c r="AI67" s="7"/>
      <c r="AJ67" s="7"/>
      <c r="AK67" s="7"/>
      <c r="AL67" s="7"/>
      <c r="AM67" s="7"/>
      <c r="AN67" s="7"/>
    </row>
    <row r="68" spans="1:40" ht="12">
      <c r="A68" s="58"/>
      <c r="B68" s="58"/>
      <c r="C68" s="160"/>
      <c r="D68" s="160"/>
      <c r="E68" s="160"/>
      <c r="F68" s="160"/>
      <c r="G68" s="160"/>
      <c r="H68" s="160"/>
      <c r="I68" s="160"/>
      <c r="J68" s="160"/>
      <c r="K68" s="160"/>
      <c r="L68" s="160"/>
      <c r="M68" s="160"/>
      <c r="N68" s="160"/>
      <c r="O68" s="160"/>
      <c r="P68" s="160"/>
      <c r="Q68" s="160"/>
      <c r="R68" s="160"/>
      <c r="S68" s="160"/>
      <c r="T68" s="160"/>
      <c r="U68" s="160"/>
      <c r="V68" s="160"/>
      <c r="W68" s="160"/>
      <c r="X68" s="160"/>
      <c r="Y68" s="7"/>
      <c r="Z68" s="7"/>
      <c r="AA68" s="7"/>
      <c r="AB68" s="7"/>
      <c r="AC68" s="7"/>
      <c r="AD68" s="7"/>
      <c r="AE68" s="7"/>
      <c r="AF68" s="7"/>
      <c r="AG68" s="7"/>
      <c r="AH68" s="7"/>
      <c r="AI68" s="7"/>
      <c r="AJ68" s="7"/>
      <c r="AK68" s="7"/>
      <c r="AL68" s="7"/>
      <c r="AM68" s="7"/>
      <c r="AN68" s="7"/>
    </row>
    <row r="69" spans="1:40" ht="12">
      <c r="A69" s="58"/>
      <c r="B69" s="58"/>
      <c r="C69" s="160"/>
      <c r="D69" s="160"/>
      <c r="E69" s="160"/>
      <c r="F69" s="160"/>
      <c r="G69" s="160"/>
      <c r="H69" s="160"/>
      <c r="I69" s="160"/>
      <c r="J69" s="160"/>
      <c r="K69" s="160"/>
      <c r="L69" s="160"/>
      <c r="M69" s="160"/>
      <c r="N69" s="160"/>
      <c r="O69" s="160"/>
      <c r="P69" s="160"/>
      <c r="Q69" s="160"/>
      <c r="R69" s="160"/>
      <c r="S69" s="160"/>
      <c r="T69" s="160"/>
      <c r="U69" s="160"/>
      <c r="V69" s="160"/>
      <c r="W69" s="160"/>
      <c r="X69" s="160"/>
      <c r="Y69" s="7"/>
      <c r="Z69" s="7"/>
      <c r="AA69" s="7"/>
      <c r="AB69" s="7"/>
      <c r="AC69" s="7"/>
      <c r="AD69" s="7"/>
      <c r="AE69" s="7"/>
      <c r="AF69" s="7"/>
      <c r="AG69" s="7"/>
      <c r="AH69" s="7"/>
      <c r="AI69" s="7"/>
      <c r="AJ69" s="7"/>
      <c r="AK69" s="7"/>
      <c r="AL69" s="7"/>
      <c r="AM69" s="7"/>
      <c r="AN69" s="7"/>
    </row>
    <row r="70" spans="1:40" ht="12">
      <c r="A70" s="58"/>
      <c r="B70" s="58"/>
      <c r="C70" s="160"/>
      <c r="D70" s="160"/>
      <c r="E70" s="160"/>
      <c r="F70" s="160"/>
      <c r="G70" s="160"/>
      <c r="H70" s="160"/>
      <c r="I70" s="160"/>
      <c r="J70" s="160"/>
      <c r="K70" s="160"/>
      <c r="L70" s="160"/>
      <c r="M70" s="160"/>
      <c r="N70" s="160"/>
      <c r="O70" s="160"/>
      <c r="P70" s="160"/>
      <c r="Q70" s="160"/>
      <c r="R70" s="160"/>
      <c r="S70" s="160"/>
      <c r="T70" s="160"/>
      <c r="U70" s="160"/>
      <c r="V70" s="160"/>
      <c r="W70" s="160"/>
      <c r="X70" s="160"/>
      <c r="Y70" s="7"/>
      <c r="Z70" s="7"/>
      <c r="AA70" s="7"/>
      <c r="AB70" s="7"/>
      <c r="AC70" s="7"/>
      <c r="AD70" s="7"/>
      <c r="AE70" s="7"/>
      <c r="AF70" s="7"/>
      <c r="AG70" s="7"/>
      <c r="AH70" s="7"/>
      <c r="AI70" s="7"/>
      <c r="AJ70" s="7"/>
      <c r="AK70" s="7"/>
      <c r="AL70" s="7"/>
      <c r="AM70" s="7"/>
      <c r="AN70" s="7"/>
    </row>
    <row r="71" spans="1:40" ht="12">
      <c r="A71" s="58"/>
      <c r="B71" s="58"/>
      <c r="C71" s="160"/>
      <c r="D71" s="160"/>
      <c r="E71" s="160"/>
      <c r="F71" s="160"/>
      <c r="G71" s="160"/>
      <c r="H71" s="160"/>
      <c r="I71" s="160"/>
      <c r="J71" s="160"/>
      <c r="K71" s="160"/>
      <c r="L71" s="160"/>
      <c r="M71" s="160"/>
      <c r="N71" s="160"/>
      <c r="O71" s="160"/>
      <c r="P71" s="160"/>
      <c r="Q71" s="160"/>
      <c r="R71" s="160"/>
      <c r="S71" s="160"/>
      <c r="T71" s="160"/>
      <c r="U71" s="160"/>
      <c r="V71" s="160"/>
      <c r="W71" s="160"/>
      <c r="X71" s="160"/>
      <c r="Y71" s="7"/>
      <c r="Z71" s="7"/>
      <c r="AA71" s="7"/>
      <c r="AB71" s="7"/>
      <c r="AC71" s="7"/>
      <c r="AD71" s="7"/>
      <c r="AE71" s="7"/>
      <c r="AF71" s="7"/>
      <c r="AG71" s="7"/>
      <c r="AH71" s="7"/>
      <c r="AI71" s="7"/>
      <c r="AJ71" s="7"/>
      <c r="AK71" s="7"/>
      <c r="AL71" s="7"/>
      <c r="AM71" s="7"/>
      <c r="AN71" s="7"/>
    </row>
    <row r="72" spans="1:40" ht="12">
      <c r="A72" s="58"/>
      <c r="B72" s="58"/>
      <c r="C72" s="160"/>
      <c r="D72" s="160"/>
      <c r="E72" s="160"/>
      <c r="F72" s="160"/>
      <c r="G72" s="160"/>
      <c r="H72" s="160"/>
      <c r="I72" s="160"/>
      <c r="J72" s="160"/>
      <c r="K72" s="160"/>
      <c r="L72" s="160"/>
      <c r="M72" s="160"/>
      <c r="N72" s="160"/>
      <c r="O72" s="160"/>
      <c r="P72" s="160"/>
      <c r="Q72" s="160"/>
      <c r="R72" s="160"/>
      <c r="S72" s="160"/>
      <c r="T72" s="160"/>
      <c r="U72" s="160"/>
      <c r="V72" s="160"/>
      <c r="W72" s="160"/>
      <c r="X72" s="160"/>
      <c r="Y72" s="7"/>
      <c r="Z72" s="7"/>
      <c r="AA72" s="7"/>
      <c r="AB72" s="7"/>
      <c r="AC72" s="7"/>
      <c r="AD72" s="7"/>
      <c r="AE72" s="7"/>
      <c r="AF72" s="7"/>
      <c r="AG72" s="7"/>
      <c r="AH72" s="7"/>
      <c r="AI72" s="7"/>
      <c r="AJ72" s="7"/>
      <c r="AK72" s="7"/>
      <c r="AL72" s="7"/>
      <c r="AM72" s="7"/>
      <c r="AN72" s="7"/>
    </row>
    <row r="73" spans="1:40" ht="12">
      <c r="A73" s="58"/>
      <c r="B73" s="58"/>
      <c r="C73" s="160"/>
      <c r="D73" s="160"/>
      <c r="E73" s="160"/>
      <c r="F73" s="160"/>
      <c r="G73" s="160"/>
      <c r="H73" s="160"/>
      <c r="I73" s="160"/>
      <c r="J73" s="160"/>
      <c r="K73" s="160"/>
      <c r="L73" s="160"/>
      <c r="M73" s="160"/>
      <c r="N73" s="160"/>
      <c r="O73" s="160"/>
      <c r="P73" s="160"/>
      <c r="Q73" s="160"/>
      <c r="R73" s="160"/>
      <c r="S73" s="160"/>
      <c r="T73" s="160"/>
      <c r="U73" s="160"/>
      <c r="V73" s="160"/>
      <c r="W73" s="160"/>
      <c r="X73" s="160"/>
      <c r="Y73" s="7"/>
      <c r="Z73" s="7"/>
      <c r="AA73" s="7"/>
      <c r="AB73" s="7"/>
      <c r="AC73" s="7"/>
      <c r="AD73" s="7"/>
      <c r="AE73" s="7"/>
      <c r="AF73" s="7"/>
      <c r="AG73" s="7"/>
      <c r="AH73" s="7"/>
      <c r="AI73" s="7"/>
      <c r="AJ73" s="7"/>
      <c r="AK73" s="7"/>
      <c r="AL73" s="7"/>
      <c r="AM73" s="7"/>
      <c r="AN73" s="7"/>
    </row>
    <row r="74" spans="1:40" ht="12">
      <c r="A74" s="58"/>
      <c r="B74" s="58"/>
      <c r="C74" s="160"/>
      <c r="D74" s="160"/>
      <c r="E74" s="160"/>
      <c r="F74" s="160"/>
      <c r="G74" s="160"/>
      <c r="H74" s="160"/>
      <c r="I74" s="160"/>
      <c r="J74" s="160"/>
      <c r="K74" s="160"/>
      <c r="L74" s="160"/>
      <c r="M74" s="160"/>
      <c r="N74" s="160"/>
      <c r="O74" s="160"/>
      <c r="P74" s="160"/>
      <c r="Q74" s="160"/>
      <c r="R74" s="160"/>
      <c r="S74" s="160"/>
      <c r="T74" s="160"/>
      <c r="U74" s="160"/>
      <c r="V74" s="160"/>
      <c r="W74" s="160"/>
      <c r="X74" s="160"/>
      <c r="Y74" s="7"/>
      <c r="Z74" s="7"/>
      <c r="AA74" s="7"/>
      <c r="AB74" s="7"/>
      <c r="AC74" s="7"/>
      <c r="AD74" s="7"/>
      <c r="AE74" s="7"/>
      <c r="AF74" s="7"/>
      <c r="AG74" s="7"/>
      <c r="AH74" s="7"/>
      <c r="AI74" s="7"/>
      <c r="AJ74" s="7"/>
      <c r="AK74" s="7"/>
      <c r="AL74" s="7"/>
      <c r="AM74" s="7"/>
      <c r="AN74" s="7"/>
    </row>
    <row r="75" spans="1:40" ht="12">
      <c r="A75" s="58"/>
      <c r="B75" s="58"/>
      <c r="C75" s="160"/>
      <c r="D75" s="160"/>
      <c r="E75" s="160"/>
      <c r="F75" s="160"/>
      <c r="G75" s="160"/>
      <c r="H75" s="160"/>
      <c r="I75" s="160"/>
      <c r="J75" s="160"/>
      <c r="K75" s="160"/>
      <c r="L75" s="160"/>
      <c r="M75" s="160"/>
      <c r="N75" s="160"/>
      <c r="O75" s="160"/>
      <c r="P75" s="160"/>
      <c r="Q75" s="160"/>
      <c r="R75" s="160"/>
      <c r="S75" s="160"/>
      <c r="T75" s="160"/>
      <c r="U75" s="160"/>
      <c r="V75" s="160"/>
      <c r="W75" s="160"/>
      <c r="X75" s="160"/>
      <c r="Y75" s="7"/>
      <c r="Z75" s="7"/>
      <c r="AA75" s="7"/>
      <c r="AB75" s="7"/>
      <c r="AC75" s="7"/>
      <c r="AD75" s="7"/>
      <c r="AE75" s="7"/>
      <c r="AF75" s="7"/>
      <c r="AG75" s="7"/>
      <c r="AH75" s="7"/>
      <c r="AI75" s="7"/>
      <c r="AJ75" s="7"/>
      <c r="AK75" s="7"/>
      <c r="AL75" s="7"/>
      <c r="AM75" s="7"/>
      <c r="AN75" s="7"/>
    </row>
    <row r="76" spans="1:40" ht="12">
      <c r="A76" s="58"/>
      <c r="B76" s="58"/>
      <c r="C76" s="160"/>
      <c r="D76" s="160"/>
      <c r="E76" s="160"/>
      <c r="F76" s="160"/>
      <c r="G76" s="160"/>
      <c r="H76" s="160"/>
      <c r="I76" s="160"/>
      <c r="J76" s="160"/>
      <c r="K76" s="160"/>
      <c r="L76" s="160"/>
      <c r="M76" s="160"/>
      <c r="N76" s="160"/>
      <c r="O76" s="160"/>
      <c r="P76" s="160"/>
      <c r="Q76" s="160"/>
      <c r="R76" s="160"/>
      <c r="S76" s="160"/>
      <c r="T76" s="160"/>
      <c r="U76" s="160"/>
      <c r="V76" s="160"/>
      <c r="W76" s="160"/>
      <c r="X76" s="160"/>
      <c r="Y76" s="7"/>
      <c r="Z76" s="7"/>
      <c r="AA76" s="7"/>
      <c r="AB76" s="7"/>
      <c r="AC76" s="7"/>
      <c r="AD76" s="7"/>
      <c r="AE76" s="7"/>
      <c r="AF76" s="7"/>
      <c r="AG76" s="7"/>
      <c r="AH76" s="7"/>
      <c r="AI76" s="7"/>
      <c r="AJ76" s="7"/>
      <c r="AK76" s="7"/>
      <c r="AL76" s="7"/>
      <c r="AM76" s="7"/>
      <c r="AN76" s="7"/>
    </row>
    <row r="77" spans="1:40" ht="12">
      <c r="A77" s="58"/>
      <c r="B77" s="58"/>
      <c r="C77" s="160"/>
      <c r="D77" s="160"/>
      <c r="E77" s="160"/>
      <c r="F77" s="160"/>
      <c r="G77" s="160"/>
      <c r="H77" s="160"/>
      <c r="I77" s="160"/>
      <c r="J77" s="160"/>
      <c r="K77" s="160"/>
      <c r="L77" s="160"/>
      <c r="M77" s="160"/>
      <c r="N77" s="160"/>
      <c r="O77" s="160"/>
      <c r="P77" s="160"/>
      <c r="Q77" s="160"/>
      <c r="R77" s="160"/>
      <c r="S77" s="160"/>
      <c r="T77" s="160"/>
      <c r="U77" s="160"/>
      <c r="V77" s="160"/>
      <c r="W77" s="160"/>
      <c r="X77" s="160"/>
      <c r="Y77" s="7"/>
      <c r="Z77" s="7"/>
      <c r="AA77" s="7"/>
      <c r="AB77" s="7"/>
      <c r="AC77" s="7"/>
      <c r="AD77" s="7"/>
      <c r="AE77" s="7"/>
      <c r="AF77" s="7"/>
      <c r="AG77" s="7"/>
      <c r="AH77" s="7"/>
      <c r="AI77" s="7"/>
      <c r="AJ77" s="7"/>
      <c r="AK77" s="7"/>
      <c r="AL77" s="7"/>
      <c r="AM77" s="7"/>
      <c r="AN77" s="7"/>
    </row>
    <row r="78" spans="1:40" ht="12">
      <c r="A78" s="58"/>
      <c r="B78" s="58"/>
      <c r="C78" s="160"/>
      <c r="D78" s="160"/>
      <c r="E78" s="160"/>
      <c r="F78" s="160"/>
      <c r="G78" s="160"/>
      <c r="H78" s="160"/>
      <c r="I78" s="160"/>
      <c r="J78" s="160"/>
      <c r="K78" s="160"/>
      <c r="L78" s="160"/>
      <c r="M78" s="160"/>
      <c r="N78" s="160"/>
      <c r="O78" s="160"/>
      <c r="P78" s="160"/>
      <c r="Q78" s="160"/>
      <c r="R78" s="160"/>
      <c r="S78" s="160"/>
      <c r="T78" s="160"/>
      <c r="U78" s="160"/>
      <c r="V78" s="160"/>
      <c r="W78" s="160"/>
      <c r="X78" s="160"/>
      <c r="Y78" s="7"/>
      <c r="Z78" s="7"/>
      <c r="AA78" s="7"/>
      <c r="AB78" s="7"/>
      <c r="AC78" s="7"/>
      <c r="AD78" s="7"/>
      <c r="AE78" s="7"/>
      <c r="AF78" s="7"/>
      <c r="AG78" s="7"/>
      <c r="AH78" s="7"/>
      <c r="AI78" s="7"/>
      <c r="AJ78" s="7"/>
      <c r="AK78" s="7"/>
      <c r="AL78" s="7"/>
      <c r="AM78" s="7"/>
      <c r="AN78" s="7"/>
    </row>
    <row r="79" spans="1:40" ht="12">
      <c r="A79" s="58"/>
      <c r="B79" s="58"/>
      <c r="C79" s="160"/>
      <c r="D79" s="160"/>
      <c r="E79" s="160"/>
      <c r="F79" s="160"/>
      <c r="G79" s="160"/>
      <c r="H79" s="160"/>
      <c r="I79" s="160"/>
      <c r="J79" s="160"/>
      <c r="K79" s="160"/>
      <c r="L79" s="160"/>
      <c r="M79" s="160"/>
      <c r="N79" s="160"/>
      <c r="O79" s="160"/>
      <c r="P79" s="160"/>
      <c r="Q79" s="160"/>
      <c r="R79" s="160"/>
      <c r="S79" s="160"/>
      <c r="T79" s="160"/>
      <c r="U79" s="160"/>
      <c r="V79" s="160"/>
      <c r="W79" s="160"/>
      <c r="X79" s="160"/>
      <c r="Y79" s="7"/>
      <c r="Z79" s="7"/>
      <c r="AA79" s="7"/>
      <c r="AB79" s="7"/>
      <c r="AC79" s="7"/>
      <c r="AD79" s="7"/>
      <c r="AE79" s="7"/>
      <c r="AF79" s="7"/>
      <c r="AG79" s="7"/>
      <c r="AH79" s="7"/>
      <c r="AI79" s="7"/>
      <c r="AJ79" s="7"/>
      <c r="AK79" s="7"/>
      <c r="AL79" s="7"/>
      <c r="AM79" s="7"/>
      <c r="AN79" s="7"/>
    </row>
    <row r="80" spans="1:40" ht="12">
      <c r="A80" s="58"/>
      <c r="B80" s="58"/>
      <c r="C80" s="160"/>
      <c r="D80" s="160"/>
      <c r="E80" s="160"/>
      <c r="F80" s="160"/>
      <c r="G80" s="160"/>
      <c r="H80" s="160"/>
      <c r="I80" s="160"/>
      <c r="J80" s="160"/>
      <c r="K80" s="160"/>
      <c r="L80" s="160"/>
      <c r="M80" s="160"/>
      <c r="N80" s="160"/>
      <c r="O80" s="160"/>
      <c r="P80" s="160"/>
      <c r="Q80" s="160"/>
      <c r="R80" s="160"/>
      <c r="S80" s="160"/>
      <c r="T80" s="160"/>
      <c r="U80" s="160"/>
      <c r="V80" s="160"/>
      <c r="W80" s="160"/>
      <c r="X80" s="160"/>
      <c r="Y80" s="7"/>
      <c r="Z80" s="7"/>
      <c r="AA80" s="7"/>
      <c r="AB80" s="7"/>
      <c r="AC80" s="7"/>
      <c r="AD80" s="7"/>
      <c r="AE80" s="7"/>
      <c r="AF80" s="7"/>
      <c r="AG80" s="7"/>
      <c r="AH80" s="7"/>
      <c r="AI80" s="7"/>
      <c r="AJ80" s="7"/>
      <c r="AK80" s="7"/>
      <c r="AL80" s="7"/>
      <c r="AM80" s="7"/>
      <c r="AN80" s="7"/>
    </row>
    <row r="81" spans="1:40" ht="12">
      <c r="A81" s="58"/>
      <c r="B81" s="58"/>
      <c r="C81" s="160"/>
      <c r="D81" s="160"/>
      <c r="E81" s="160"/>
      <c r="F81" s="160"/>
      <c r="G81" s="160"/>
      <c r="H81" s="160"/>
      <c r="I81" s="160"/>
      <c r="J81" s="160"/>
      <c r="K81" s="160"/>
      <c r="L81" s="160"/>
      <c r="M81" s="160"/>
      <c r="N81" s="160"/>
      <c r="O81" s="160"/>
      <c r="P81" s="160"/>
      <c r="Q81" s="160"/>
      <c r="R81" s="160"/>
      <c r="S81" s="160"/>
      <c r="T81" s="160"/>
      <c r="U81" s="160"/>
      <c r="V81" s="160"/>
      <c r="W81" s="160"/>
      <c r="X81" s="160"/>
      <c r="Y81" s="7"/>
      <c r="Z81" s="7"/>
      <c r="AA81" s="7"/>
      <c r="AB81" s="7"/>
      <c r="AC81" s="7"/>
      <c r="AD81" s="7"/>
      <c r="AE81" s="7"/>
      <c r="AF81" s="7"/>
      <c r="AG81" s="7"/>
      <c r="AH81" s="7"/>
      <c r="AI81" s="7"/>
      <c r="AJ81" s="7"/>
      <c r="AK81" s="7"/>
      <c r="AL81" s="7"/>
      <c r="AM81" s="7"/>
      <c r="AN81" s="7"/>
    </row>
    <row r="82" spans="1:40" ht="12">
      <c r="A82" s="58"/>
      <c r="B82" s="58"/>
      <c r="C82" s="160"/>
      <c r="D82" s="160"/>
      <c r="E82" s="160"/>
      <c r="F82" s="160"/>
      <c r="G82" s="160"/>
      <c r="H82" s="160"/>
      <c r="I82" s="160"/>
      <c r="J82" s="160"/>
      <c r="K82" s="160"/>
      <c r="L82" s="160"/>
      <c r="M82" s="160"/>
      <c r="N82" s="160"/>
      <c r="O82" s="160"/>
      <c r="P82" s="160"/>
      <c r="Q82" s="160"/>
      <c r="R82" s="160"/>
      <c r="S82" s="160"/>
      <c r="T82" s="160"/>
      <c r="U82" s="160"/>
      <c r="V82" s="160"/>
      <c r="W82" s="160"/>
      <c r="X82" s="160"/>
      <c r="Y82" s="7"/>
      <c r="Z82" s="7"/>
      <c r="AA82" s="7"/>
      <c r="AB82" s="7"/>
      <c r="AC82" s="7"/>
      <c r="AD82" s="7"/>
      <c r="AE82" s="7"/>
      <c r="AF82" s="7"/>
      <c r="AG82" s="7"/>
      <c r="AH82" s="7"/>
      <c r="AI82" s="7"/>
      <c r="AJ82" s="7"/>
      <c r="AK82" s="7"/>
      <c r="AL82" s="7"/>
      <c r="AM82" s="7"/>
      <c r="AN82" s="7"/>
    </row>
    <row r="83" spans="1:40" ht="12">
      <c r="A83" s="58"/>
      <c r="B83" s="58"/>
      <c r="C83" s="160"/>
      <c r="D83" s="160"/>
      <c r="E83" s="160"/>
      <c r="F83" s="160"/>
      <c r="G83" s="160"/>
      <c r="H83" s="160"/>
      <c r="I83" s="160"/>
      <c r="J83" s="160"/>
      <c r="K83" s="160"/>
      <c r="L83" s="160"/>
      <c r="M83" s="160"/>
      <c r="N83" s="160"/>
      <c r="O83" s="160"/>
      <c r="P83" s="160"/>
      <c r="Q83" s="160"/>
      <c r="R83" s="160"/>
      <c r="S83" s="160"/>
      <c r="T83" s="160"/>
      <c r="U83" s="160"/>
      <c r="V83" s="160"/>
      <c r="W83" s="160"/>
      <c r="X83" s="160"/>
      <c r="Y83" s="7"/>
      <c r="Z83" s="7"/>
      <c r="AA83" s="7"/>
      <c r="AB83" s="7"/>
      <c r="AC83" s="7"/>
      <c r="AD83" s="7"/>
      <c r="AE83" s="7"/>
      <c r="AF83" s="7"/>
      <c r="AG83" s="7"/>
      <c r="AH83" s="7"/>
      <c r="AI83" s="7"/>
      <c r="AJ83" s="7"/>
      <c r="AK83" s="7"/>
      <c r="AL83" s="7"/>
      <c r="AM83" s="7"/>
      <c r="AN83" s="7"/>
    </row>
    <row r="84" spans="1:40" ht="12">
      <c r="A84" s="58"/>
      <c r="B84" s="58"/>
      <c r="C84" s="160"/>
      <c r="D84" s="160"/>
      <c r="E84" s="160"/>
      <c r="F84" s="160"/>
      <c r="G84" s="160"/>
      <c r="H84" s="160"/>
      <c r="I84" s="160"/>
      <c r="J84" s="160"/>
      <c r="K84" s="160"/>
      <c r="L84" s="160"/>
      <c r="M84" s="160"/>
      <c r="N84" s="160"/>
      <c r="O84" s="160"/>
      <c r="P84" s="160"/>
      <c r="Q84" s="160"/>
      <c r="R84" s="160"/>
      <c r="S84" s="160"/>
      <c r="T84" s="160"/>
      <c r="U84" s="160"/>
      <c r="V84" s="160"/>
      <c r="W84" s="160"/>
      <c r="X84" s="160"/>
      <c r="Y84" s="7"/>
      <c r="Z84" s="7"/>
      <c r="AA84" s="7"/>
      <c r="AB84" s="7"/>
      <c r="AC84" s="7"/>
      <c r="AD84" s="7"/>
      <c r="AE84" s="7"/>
      <c r="AF84" s="7"/>
      <c r="AG84" s="7"/>
      <c r="AH84" s="7"/>
      <c r="AI84" s="7"/>
      <c r="AJ84" s="7"/>
      <c r="AK84" s="7"/>
      <c r="AL84" s="7"/>
      <c r="AM84" s="7"/>
      <c r="AN84" s="7"/>
    </row>
    <row r="85" spans="1:40" ht="12">
      <c r="A85" s="58"/>
      <c r="B85" s="58"/>
      <c r="C85" s="160"/>
      <c r="D85" s="160"/>
      <c r="E85" s="160"/>
      <c r="F85" s="160"/>
      <c r="G85" s="160"/>
      <c r="H85" s="160"/>
      <c r="I85" s="160"/>
      <c r="J85" s="160"/>
      <c r="K85" s="160"/>
      <c r="L85" s="160"/>
      <c r="M85" s="160"/>
      <c r="N85" s="160"/>
      <c r="O85" s="160"/>
      <c r="P85" s="160"/>
      <c r="Q85" s="160"/>
      <c r="R85" s="160"/>
      <c r="S85" s="160"/>
      <c r="T85" s="160"/>
      <c r="U85" s="160"/>
      <c r="V85" s="160"/>
      <c r="W85" s="160"/>
      <c r="X85" s="160"/>
      <c r="Y85" s="7"/>
      <c r="Z85" s="7"/>
      <c r="AA85" s="7"/>
      <c r="AB85" s="7"/>
      <c r="AC85" s="7"/>
      <c r="AD85" s="7"/>
      <c r="AE85" s="7"/>
      <c r="AF85" s="7"/>
      <c r="AG85" s="7"/>
      <c r="AH85" s="7"/>
      <c r="AI85" s="7"/>
      <c r="AJ85" s="7"/>
      <c r="AK85" s="7"/>
      <c r="AL85" s="7"/>
      <c r="AM85" s="7"/>
      <c r="AN85" s="7"/>
    </row>
    <row r="86" spans="1:40" ht="12">
      <c r="A86" s="58"/>
      <c r="B86" s="58"/>
      <c r="C86" s="160"/>
      <c r="D86" s="160"/>
      <c r="E86" s="160"/>
      <c r="F86" s="160"/>
      <c r="G86" s="160"/>
      <c r="H86" s="160"/>
      <c r="I86" s="160"/>
      <c r="J86" s="160"/>
      <c r="K86" s="160"/>
      <c r="L86" s="160"/>
      <c r="M86" s="160"/>
      <c r="N86" s="160"/>
      <c r="O86" s="160"/>
      <c r="P86" s="160"/>
      <c r="Q86" s="160"/>
      <c r="R86" s="160"/>
      <c r="S86" s="160"/>
      <c r="T86" s="160"/>
      <c r="U86" s="160"/>
      <c r="V86" s="160"/>
      <c r="W86" s="160"/>
      <c r="X86" s="160"/>
      <c r="Y86" s="7"/>
      <c r="Z86" s="7"/>
      <c r="AA86" s="7"/>
      <c r="AB86" s="7"/>
      <c r="AC86" s="7"/>
      <c r="AD86" s="7"/>
      <c r="AE86" s="7"/>
      <c r="AF86" s="7"/>
      <c r="AG86" s="7"/>
      <c r="AH86" s="7"/>
      <c r="AI86" s="7"/>
      <c r="AJ86" s="7"/>
      <c r="AK86" s="7"/>
      <c r="AL86" s="7"/>
      <c r="AM86" s="7"/>
      <c r="AN86" s="7"/>
    </row>
    <row r="87" spans="1:40" ht="12">
      <c r="A87" s="58"/>
      <c r="B87" s="58"/>
      <c r="C87" s="160"/>
      <c r="D87" s="160"/>
      <c r="E87" s="160"/>
      <c r="F87" s="160"/>
      <c r="G87" s="160"/>
      <c r="H87" s="160"/>
      <c r="I87" s="160"/>
      <c r="J87" s="160"/>
      <c r="K87" s="160"/>
      <c r="L87" s="160"/>
      <c r="M87" s="160"/>
      <c r="N87" s="160"/>
      <c r="O87" s="160"/>
      <c r="P87" s="160"/>
      <c r="Q87" s="160"/>
      <c r="R87" s="160"/>
      <c r="S87" s="160"/>
      <c r="T87" s="160"/>
      <c r="U87" s="160"/>
      <c r="V87" s="160"/>
      <c r="W87" s="160"/>
      <c r="X87" s="160"/>
      <c r="Y87" s="7"/>
      <c r="Z87" s="7"/>
      <c r="AA87" s="7"/>
      <c r="AB87" s="7"/>
      <c r="AC87" s="7"/>
      <c r="AD87" s="7"/>
      <c r="AE87" s="7"/>
      <c r="AF87" s="7"/>
      <c r="AG87" s="7"/>
      <c r="AH87" s="7"/>
      <c r="AI87" s="7"/>
      <c r="AJ87" s="7"/>
      <c r="AK87" s="7"/>
      <c r="AL87" s="7"/>
      <c r="AM87" s="7"/>
      <c r="AN87" s="7"/>
    </row>
  </sheetData>
  <sheetProtection/>
  <mergeCells count="33">
    <mergeCell ref="AK13:AL13"/>
    <mergeCell ref="AM13:AN13"/>
    <mergeCell ref="A11:AN11"/>
    <mergeCell ref="U12:X12"/>
    <mergeCell ref="Y12:AB12"/>
    <mergeCell ref="AC12:AF12"/>
    <mergeCell ref="AG12:AJ12"/>
    <mergeCell ref="AK12:AN12"/>
    <mergeCell ref="I13:J13"/>
    <mergeCell ref="AE13:AF13"/>
    <mergeCell ref="AG13:AH13"/>
    <mergeCell ref="M13:N13"/>
    <mergeCell ref="O13:O14"/>
    <mergeCell ref="B13:B14"/>
    <mergeCell ref="C13:D13"/>
    <mergeCell ref="E13:F13"/>
    <mergeCell ref="G13:H13"/>
    <mergeCell ref="A47:T47"/>
    <mergeCell ref="A15:AN15"/>
    <mergeCell ref="A35:T35"/>
    <mergeCell ref="A36:AN36"/>
    <mergeCell ref="A42:T42"/>
    <mergeCell ref="A43:AN43"/>
    <mergeCell ref="AI13:AJ13"/>
    <mergeCell ref="A46:T46"/>
    <mergeCell ref="Y13:Z13"/>
    <mergeCell ref="AA13:AB13"/>
    <mergeCell ref="AC13:AD13"/>
    <mergeCell ref="P13:P14"/>
    <mergeCell ref="Q13:Q14"/>
    <mergeCell ref="K13:L13"/>
    <mergeCell ref="U13:V13"/>
    <mergeCell ref="W13:X13"/>
  </mergeCells>
  <printOptions/>
  <pageMargins left="1" right="0.17" top="1" bottom="1" header="0.5" footer="0.5"/>
  <pageSetup fitToHeight="1" fitToWidth="1" horizontalDpi="600" verticalDpi="600" orientation="landscape" paperSize="17" scale="60" r:id="rId1"/>
</worksheet>
</file>

<file path=xl/worksheets/sheet7.xml><?xml version="1.0" encoding="utf-8"?>
<worksheet xmlns="http://schemas.openxmlformats.org/spreadsheetml/2006/main" xmlns:r="http://schemas.openxmlformats.org/officeDocument/2006/relationships">
  <sheetPr codeName="Sheet2">
    <pageSetUpPr fitToPage="1"/>
  </sheetPr>
  <dimension ref="A1:P49"/>
  <sheetViews>
    <sheetView zoomScalePageLayoutView="0" workbookViewId="0" topLeftCell="A1">
      <selection activeCell="A1" sqref="A1"/>
    </sheetView>
  </sheetViews>
  <sheetFormatPr defaultColWidth="9.140625" defaultRowHeight="12"/>
  <cols>
    <col min="3" max="3" width="21.7109375" style="0" bestFit="1" customWidth="1"/>
    <col min="4" max="4" width="12.421875" style="0" bestFit="1" customWidth="1"/>
  </cols>
  <sheetData>
    <row r="1" spans="1:16" ht="12">
      <c r="A1" s="35" t="s">
        <v>450</v>
      </c>
      <c r="B1" s="58"/>
      <c r="C1" s="160"/>
      <c r="D1" s="95"/>
      <c r="E1" s="95"/>
      <c r="F1" s="95"/>
      <c r="G1" s="95"/>
      <c r="H1" s="95"/>
      <c r="I1" s="95"/>
      <c r="J1" s="95"/>
      <c r="K1" s="95"/>
      <c r="L1" s="95"/>
      <c r="M1" s="95"/>
      <c r="N1" s="95"/>
      <c r="O1" s="95"/>
      <c r="P1" s="95"/>
    </row>
    <row r="2" spans="1:16" ht="13.5">
      <c r="A2" s="59" t="s">
        <v>370</v>
      </c>
      <c r="B2" s="58"/>
      <c r="C2" s="160"/>
      <c r="D2" s="95"/>
      <c r="E2" s="95"/>
      <c r="F2" s="95"/>
      <c r="G2" s="95"/>
      <c r="H2" s="95"/>
      <c r="I2" s="95"/>
      <c r="J2" s="95"/>
      <c r="K2" s="95"/>
      <c r="L2" s="95"/>
      <c r="M2" s="95"/>
      <c r="N2" s="95"/>
      <c r="O2" s="95"/>
      <c r="P2" s="95"/>
    </row>
    <row r="3" spans="1:16" ht="13.5">
      <c r="A3" s="179" t="s">
        <v>37</v>
      </c>
      <c r="B3" s="58"/>
      <c r="C3" s="160"/>
      <c r="D3" s="95"/>
      <c r="E3" s="95"/>
      <c r="F3" s="95"/>
      <c r="G3" s="95"/>
      <c r="H3" s="95"/>
      <c r="I3" s="95"/>
      <c r="J3" s="95"/>
      <c r="K3" s="95"/>
      <c r="L3" s="95"/>
      <c r="M3" s="95"/>
      <c r="N3" s="95"/>
      <c r="O3" s="95"/>
      <c r="P3" s="95"/>
    </row>
    <row r="4" spans="1:16" ht="15.75">
      <c r="A4" s="180"/>
      <c r="B4" s="95"/>
      <c r="C4" s="95"/>
      <c r="D4" s="95"/>
      <c r="E4" s="95"/>
      <c r="F4" s="95"/>
      <c r="G4" s="95"/>
      <c r="H4" s="95"/>
      <c r="I4" s="95"/>
      <c r="J4" s="95"/>
      <c r="K4" s="95"/>
      <c r="L4" s="95"/>
      <c r="M4" s="95"/>
      <c r="N4" s="95"/>
      <c r="O4" s="95"/>
      <c r="P4" s="95"/>
    </row>
    <row r="5" spans="1:16" ht="12">
      <c r="A5" s="162" t="s">
        <v>313</v>
      </c>
      <c r="B5" s="58"/>
      <c r="C5" s="160">
        <v>0.736</v>
      </c>
      <c r="D5" s="160"/>
      <c r="E5" s="160"/>
      <c r="F5" s="160"/>
      <c r="G5" s="160"/>
      <c r="H5" s="160"/>
      <c r="I5" s="160"/>
      <c r="J5" s="160"/>
      <c r="K5" s="160"/>
      <c r="L5" s="160"/>
      <c r="M5" s="160"/>
      <c r="N5" s="160"/>
      <c r="O5" s="160"/>
      <c r="P5" s="160"/>
    </row>
    <row r="6" spans="1:16" ht="12">
      <c r="A6" s="162" t="s">
        <v>314</v>
      </c>
      <c r="B6" s="58"/>
      <c r="C6" s="160">
        <v>0.841</v>
      </c>
      <c r="D6" s="160"/>
      <c r="E6" s="160"/>
      <c r="F6" s="160"/>
      <c r="G6" s="160"/>
      <c r="H6" s="160"/>
      <c r="I6" s="160"/>
      <c r="J6" s="160"/>
      <c r="K6" s="160"/>
      <c r="L6" s="160"/>
      <c r="M6" s="160"/>
      <c r="N6" s="160"/>
      <c r="O6" s="160"/>
      <c r="P6" s="160"/>
    </row>
    <row r="7" spans="1:16" ht="12">
      <c r="A7" s="162" t="s">
        <v>315</v>
      </c>
      <c r="B7" s="58"/>
      <c r="C7" s="168">
        <v>0.84</v>
      </c>
      <c r="D7" s="160"/>
      <c r="E7" s="160"/>
      <c r="F7" s="160"/>
      <c r="G7" s="160"/>
      <c r="H7" s="160"/>
      <c r="I7" s="160"/>
      <c r="J7" s="160"/>
      <c r="K7" s="160"/>
      <c r="L7" s="160"/>
      <c r="M7" s="160"/>
      <c r="N7" s="160"/>
      <c r="O7" s="160"/>
      <c r="P7" s="160"/>
    </row>
    <row r="8" spans="1:16" ht="12">
      <c r="A8" s="162" t="s">
        <v>316</v>
      </c>
      <c r="B8" s="58"/>
      <c r="C8" s="160">
        <v>0.883</v>
      </c>
      <c r="D8" s="160"/>
      <c r="E8" s="160"/>
      <c r="F8" s="160"/>
      <c r="G8" s="160"/>
      <c r="H8" s="160"/>
      <c r="I8" s="160"/>
      <c r="J8" s="160"/>
      <c r="K8" s="160"/>
      <c r="L8" s="160"/>
      <c r="M8" s="160"/>
      <c r="N8" s="160"/>
      <c r="O8" s="160"/>
      <c r="P8" s="160"/>
    </row>
    <row r="9" spans="1:16" ht="12">
      <c r="A9" s="162" t="s">
        <v>317</v>
      </c>
      <c r="B9" s="58"/>
      <c r="C9" s="160">
        <v>0.856</v>
      </c>
      <c r="D9" s="160"/>
      <c r="E9" s="160"/>
      <c r="F9" s="160"/>
      <c r="G9" s="160"/>
      <c r="H9" s="160"/>
      <c r="I9" s="160"/>
      <c r="J9" s="160"/>
      <c r="K9" s="160"/>
      <c r="L9" s="160"/>
      <c r="M9" s="160"/>
      <c r="N9" s="160"/>
      <c r="O9" s="160"/>
      <c r="P9" s="160"/>
    </row>
    <row r="10" spans="1:16" ht="12">
      <c r="A10" s="162"/>
      <c r="B10" s="58"/>
      <c r="C10" s="160"/>
      <c r="D10" s="160"/>
      <c r="E10" s="160"/>
      <c r="F10" s="160"/>
      <c r="G10" s="160"/>
      <c r="H10" s="160"/>
      <c r="I10" s="160"/>
      <c r="J10" s="160"/>
      <c r="K10" s="160"/>
      <c r="L10" s="160"/>
      <c r="M10" s="160"/>
      <c r="N10" s="160"/>
      <c r="O10" s="160"/>
      <c r="P10" s="160"/>
    </row>
    <row r="11" spans="1:16" ht="13.5">
      <c r="A11" s="372" t="s">
        <v>369</v>
      </c>
      <c r="B11" s="373"/>
      <c r="C11" s="373"/>
      <c r="D11" s="373"/>
      <c r="E11" s="373"/>
      <c r="F11" s="373"/>
      <c r="G11" s="367">
        <v>2002</v>
      </c>
      <c r="H11" s="367"/>
      <c r="I11" s="367">
        <v>2003</v>
      </c>
      <c r="J11" s="367"/>
      <c r="K11" s="367">
        <v>2004</v>
      </c>
      <c r="L11" s="367"/>
      <c r="M11" s="367">
        <v>2005</v>
      </c>
      <c r="N11" s="367"/>
      <c r="O11" s="367">
        <v>2006</v>
      </c>
      <c r="P11" s="367"/>
    </row>
    <row r="12" spans="1:16" ht="12">
      <c r="A12" s="363" t="s">
        <v>324</v>
      </c>
      <c r="B12" s="363" t="s">
        <v>325</v>
      </c>
      <c r="C12" s="367" t="s">
        <v>214</v>
      </c>
      <c r="D12" s="96" t="s">
        <v>219</v>
      </c>
      <c r="E12" s="337" t="s">
        <v>326</v>
      </c>
      <c r="F12" s="337" t="s">
        <v>327</v>
      </c>
      <c r="G12" s="367" t="s">
        <v>328</v>
      </c>
      <c r="H12" s="367"/>
      <c r="I12" s="367" t="s">
        <v>328</v>
      </c>
      <c r="J12" s="367"/>
      <c r="K12" s="367" t="s">
        <v>328</v>
      </c>
      <c r="L12" s="367"/>
      <c r="M12" s="367" t="s">
        <v>328</v>
      </c>
      <c r="N12" s="367"/>
      <c r="O12" s="367" t="s">
        <v>328</v>
      </c>
      <c r="P12" s="367"/>
    </row>
    <row r="13" spans="1:16" ht="12">
      <c r="A13" s="336"/>
      <c r="B13" s="336"/>
      <c r="C13" s="367"/>
      <c r="D13" s="97" t="s">
        <v>329</v>
      </c>
      <c r="E13" s="337"/>
      <c r="F13" s="337"/>
      <c r="G13" s="140" t="s">
        <v>226</v>
      </c>
      <c r="H13" s="140" t="s">
        <v>227</v>
      </c>
      <c r="I13" s="140" t="s">
        <v>226</v>
      </c>
      <c r="J13" s="140" t="s">
        <v>227</v>
      </c>
      <c r="K13" s="140" t="s">
        <v>226</v>
      </c>
      <c r="L13" s="140" t="s">
        <v>227</v>
      </c>
      <c r="M13" s="140" t="s">
        <v>226</v>
      </c>
      <c r="N13" s="140" t="s">
        <v>227</v>
      </c>
      <c r="O13" s="140" t="s">
        <v>226</v>
      </c>
      <c r="P13" s="140" t="s">
        <v>227</v>
      </c>
    </row>
    <row r="14" spans="1:16" ht="12">
      <c r="A14" s="370" t="s">
        <v>228</v>
      </c>
      <c r="B14" s="327"/>
      <c r="C14" s="327"/>
      <c r="D14" s="327"/>
      <c r="E14" s="327"/>
      <c r="F14" s="327"/>
      <c r="G14" s="327"/>
      <c r="H14" s="327"/>
      <c r="I14" s="327"/>
      <c r="J14" s="327"/>
      <c r="K14" s="327"/>
      <c r="L14" s="327"/>
      <c r="M14" s="327"/>
      <c r="N14" s="327"/>
      <c r="O14" s="327"/>
      <c r="P14" s="328"/>
    </row>
    <row r="15" spans="1:16" ht="12">
      <c r="A15" s="143" t="s">
        <v>229</v>
      </c>
      <c r="B15" s="182" t="s">
        <v>330</v>
      </c>
      <c r="C15" s="182" t="s">
        <v>331</v>
      </c>
      <c r="D15" s="182" t="s">
        <v>332</v>
      </c>
      <c r="E15" s="144">
        <v>16200</v>
      </c>
      <c r="F15" s="142">
        <v>0.01</v>
      </c>
      <c r="G15" s="146">
        <f>E15*F15/7000*60*$C$5</f>
        <v>1.0219885714285715</v>
      </c>
      <c r="H15" s="146">
        <f>G15*8760/2000</f>
        <v>4.476309942857143</v>
      </c>
      <c r="I15" s="146">
        <f>E15*F15/7000*60*$C$6</f>
        <v>1.1677885714285714</v>
      </c>
      <c r="J15" s="146">
        <f aca="true" t="shared" si="0" ref="J15:J27">I15*8760/2000</f>
        <v>5.114913942857142</v>
      </c>
      <c r="K15" s="146">
        <f>E15*F15/7000*60*$C$7</f>
        <v>1.1663999999999999</v>
      </c>
      <c r="L15" s="146">
        <f aca="true" t="shared" si="1" ref="L15:L27">K15*8760/2000</f>
        <v>5.108832</v>
      </c>
      <c r="M15" s="146">
        <f>E15*F15/7000*60*$C$8</f>
        <v>1.2261085714285713</v>
      </c>
      <c r="N15" s="146">
        <f aca="true" t="shared" si="2" ref="N15:N27">M15*8760/2000</f>
        <v>5.370355542857142</v>
      </c>
      <c r="O15" s="146">
        <f>E15*F15/7000*60*$C$9</f>
        <v>1.1886171428571428</v>
      </c>
      <c r="P15" s="146">
        <f aca="true" t="shared" si="3" ref="P15:P27">O15*8760/2000</f>
        <v>5.206143085714286</v>
      </c>
    </row>
    <row r="16" spans="1:16" ht="12">
      <c r="A16" s="143" t="s">
        <v>229</v>
      </c>
      <c r="B16" s="182" t="s">
        <v>333</v>
      </c>
      <c r="C16" s="182" t="s">
        <v>334</v>
      </c>
      <c r="D16" s="182" t="s">
        <v>332</v>
      </c>
      <c r="E16" s="144">
        <v>18000</v>
      </c>
      <c r="F16" s="142">
        <v>0.01</v>
      </c>
      <c r="G16" s="146">
        <f aca="true" t="shared" si="4" ref="G16:G32">E16*F16/7000*60*$C$5</f>
        <v>1.1355428571428572</v>
      </c>
      <c r="H16" s="146">
        <f aca="true" t="shared" si="5" ref="H16:H27">G16*8760/2000</f>
        <v>4.9736777142857145</v>
      </c>
      <c r="I16" s="146">
        <f aca="true" t="shared" si="6" ref="I16:I27">E16*F16/7000*60*$C$6</f>
        <v>1.297542857142857</v>
      </c>
      <c r="J16" s="146">
        <f t="shared" si="0"/>
        <v>5.683237714285714</v>
      </c>
      <c r="K16" s="146">
        <f aca="true" t="shared" si="7" ref="K16:K27">E16*F16/7000*60*$C$7</f>
        <v>1.296</v>
      </c>
      <c r="L16" s="146">
        <f t="shared" si="1"/>
        <v>5.676480000000001</v>
      </c>
      <c r="M16" s="146">
        <f aca="true" t="shared" si="8" ref="M16:M27">E16*F16/7000*60*$C$8</f>
        <v>1.3623428571428573</v>
      </c>
      <c r="N16" s="146">
        <f t="shared" si="2"/>
        <v>5.967061714285715</v>
      </c>
      <c r="O16" s="146">
        <f aca="true" t="shared" si="9" ref="O16:O27">E16*F16/7000*60*$C$9</f>
        <v>1.3206857142857142</v>
      </c>
      <c r="P16" s="146">
        <f t="shared" si="3"/>
        <v>5.784603428571429</v>
      </c>
    </row>
    <row r="17" spans="1:16" ht="12">
      <c r="A17" s="143" t="s">
        <v>229</v>
      </c>
      <c r="B17" s="182" t="s">
        <v>335</v>
      </c>
      <c r="C17" s="182" t="s">
        <v>336</v>
      </c>
      <c r="D17" s="182" t="s">
        <v>332</v>
      </c>
      <c r="E17" s="144">
        <v>12000</v>
      </c>
      <c r="F17" s="142">
        <v>0.01</v>
      </c>
      <c r="G17" s="146">
        <f t="shared" si="4"/>
        <v>0.7570285714285715</v>
      </c>
      <c r="H17" s="146">
        <f t="shared" si="5"/>
        <v>3.315785142857143</v>
      </c>
      <c r="I17" s="146">
        <f t="shared" si="6"/>
        <v>0.8650285714285715</v>
      </c>
      <c r="J17" s="146">
        <f t="shared" si="0"/>
        <v>3.788825142857143</v>
      </c>
      <c r="K17" s="146">
        <f t="shared" si="7"/>
        <v>0.8640000000000001</v>
      </c>
      <c r="L17" s="146">
        <f t="shared" si="1"/>
        <v>3.7843200000000006</v>
      </c>
      <c r="M17" s="146">
        <f t="shared" si="8"/>
        <v>0.9082285714285715</v>
      </c>
      <c r="N17" s="146">
        <f t="shared" si="2"/>
        <v>3.978041142857143</v>
      </c>
      <c r="O17" s="146">
        <f t="shared" si="9"/>
        <v>0.8804571428571429</v>
      </c>
      <c r="P17" s="146">
        <f t="shared" si="3"/>
        <v>3.8564022857142857</v>
      </c>
    </row>
    <row r="18" spans="1:16" ht="12">
      <c r="A18" s="143" t="s">
        <v>229</v>
      </c>
      <c r="B18" s="182" t="s">
        <v>337</v>
      </c>
      <c r="C18" s="182" t="s">
        <v>338</v>
      </c>
      <c r="D18" s="182" t="s">
        <v>332</v>
      </c>
      <c r="E18" s="144">
        <v>2000</v>
      </c>
      <c r="F18" s="142">
        <v>0.01</v>
      </c>
      <c r="G18" s="146">
        <f t="shared" si="4"/>
        <v>0.12617142857142857</v>
      </c>
      <c r="H18" s="146">
        <f t="shared" si="5"/>
        <v>0.5526308571428572</v>
      </c>
      <c r="I18" s="146">
        <f t="shared" si="6"/>
        <v>0.14417142857142856</v>
      </c>
      <c r="J18" s="146">
        <f t="shared" si="0"/>
        <v>0.6314708571428571</v>
      </c>
      <c r="K18" s="146">
        <f t="shared" si="7"/>
        <v>0.144</v>
      </c>
      <c r="L18" s="146">
        <f t="shared" si="1"/>
        <v>0.63072</v>
      </c>
      <c r="M18" s="146">
        <f t="shared" si="8"/>
        <v>0.15137142857142857</v>
      </c>
      <c r="N18" s="146">
        <f t="shared" si="2"/>
        <v>0.6630068571428571</v>
      </c>
      <c r="O18" s="146">
        <f t="shared" si="9"/>
        <v>0.14674285714285715</v>
      </c>
      <c r="P18" s="146">
        <f t="shared" si="3"/>
        <v>0.6427337142857144</v>
      </c>
    </row>
    <row r="19" spans="1:16" ht="12">
      <c r="A19" s="143" t="s">
        <v>229</v>
      </c>
      <c r="B19" s="182" t="s">
        <v>339</v>
      </c>
      <c r="C19" s="182" t="s">
        <v>340</v>
      </c>
      <c r="D19" s="182" t="s">
        <v>332</v>
      </c>
      <c r="E19" s="144">
        <v>2000</v>
      </c>
      <c r="F19" s="142">
        <v>0.01</v>
      </c>
      <c r="G19" s="146">
        <f t="shared" si="4"/>
        <v>0.12617142857142857</v>
      </c>
      <c r="H19" s="146">
        <f t="shared" si="5"/>
        <v>0.5526308571428572</v>
      </c>
      <c r="I19" s="146">
        <f t="shared" si="6"/>
        <v>0.14417142857142856</v>
      </c>
      <c r="J19" s="146">
        <f t="shared" si="0"/>
        <v>0.6314708571428571</v>
      </c>
      <c r="K19" s="146">
        <f t="shared" si="7"/>
        <v>0.144</v>
      </c>
      <c r="L19" s="146">
        <f t="shared" si="1"/>
        <v>0.63072</v>
      </c>
      <c r="M19" s="146">
        <f t="shared" si="8"/>
        <v>0.15137142857142857</v>
      </c>
      <c r="N19" s="146">
        <f t="shared" si="2"/>
        <v>0.6630068571428571</v>
      </c>
      <c r="O19" s="146">
        <f t="shared" si="9"/>
        <v>0.14674285714285715</v>
      </c>
      <c r="P19" s="146">
        <f t="shared" si="3"/>
        <v>0.6427337142857144</v>
      </c>
    </row>
    <row r="20" spans="1:16" ht="12">
      <c r="A20" s="143" t="s">
        <v>229</v>
      </c>
      <c r="B20" s="182" t="s">
        <v>341</v>
      </c>
      <c r="C20" s="182" t="s">
        <v>342</v>
      </c>
      <c r="D20" s="182" t="s">
        <v>332</v>
      </c>
      <c r="E20" s="144">
        <v>2000</v>
      </c>
      <c r="F20" s="142">
        <v>0.01</v>
      </c>
      <c r="G20" s="146">
        <f t="shared" si="4"/>
        <v>0.12617142857142857</v>
      </c>
      <c r="H20" s="146">
        <f t="shared" si="5"/>
        <v>0.5526308571428572</v>
      </c>
      <c r="I20" s="146">
        <f t="shared" si="6"/>
        <v>0.14417142857142856</v>
      </c>
      <c r="J20" s="146">
        <f t="shared" si="0"/>
        <v>0.6314708571428571</v>
      </c>
      <c r="K20" s="146">
        <f t="shared" si="7"/>
        <v>0.144</v>
      </c>
      <c r="L20" s="146">
        <f t="shared" si="1"/>
        <v>0.63072</v>
      </c>
      <c r="M20" s="146">
        <f t="shared" si="8"/>
        <v>0.15137142857142857</v>
      </c>
      <c r="N20" s="146">
        <f t="shared" si="2"/>
        <v>0.6630068571428571</v>
      </c>
      <c r="O20" s="146">
        <f t="shared" si="9"/>
        <v>0.14674285714285715</v>
      </c>
      <c r="P20" s="146">
        <f t="shared" si="3"/>
        <v>0.6427337142857144</v>
      </c>
    </row>
    <row r="21" spans="1:16" ht="12">
      <c r="A21" s="143" t="s">
        <v>229</v>
      </c>
      <c r="B21" s="182" t="s">
        <v>343</v>
      </c>
      <c r="C21" s="182" t="s">
        <v>344</v>
      </c>
      <c r="D21" s="182" t="s">
        <v>345</v>
      </c>
      <c r="E21" s="144">
        <v>2000</v>
      </c>
      <c r="F21" s="142">
        <v>0.01</v>
      </c>
      <c r="G21" s="146">
        <f t="shared" si="4"/>
        <v>0.12617142857142857</v>
      </c>
      <c r="H21" s="146">
        <f t="shared" si="5"/>
        <v>0.5526308571428572</v>
      </c>
      <c r="I21" s="146">
        <f t="shared" si="6"/>
        <v>0.14417142857142856</v>
      </c>
      <c r="J21" s="146">
        <f t="shared" si="0"/>
        <v>0.6314708571428571</v>
      </c>
      <c r="K21" s="146">
        <f t="shared" si="7"/>
        <v>0.144</v>
      </c>
      <c r="L21" s="146">
        <f t="shared" si="1"/>
        <v>0.63072</v>
      </c>
      <c r="M21" s="146">
        <f t="shared" si="8"/>
        <v>0.15137142857142857</v>
      </c>
      <c r="N21" s="146">
        <f t="shared" si="2"/>
        <v>0.6630068571428571</v>
      </c>
      <c r="O21" s="146">
        <f t="shared" si="9"/>
        <v>0.14674285714285715</v>
      </c>
      <c r="P21" s="146">
        <f t="shared" si="3"/>
        <v>0.6427337142857144</v>
      </c>
    </row>
    <row r="22" spans="1:16" ht="12">
      <c r="A22" s="143" t="s">
        <v>229</v>
      </c>
      <c r="B22" s="182" t="s">
        <v>346</v>
      </c>
      <c r="C22" s="182" t="s">
        <v>347</v>
      </c>
      <c r="D22" s="182" t="s">
        <v>345</v>
      </c>
      <c r="E22" s="144">
        <v>2000</v>
      </c>
      <c r="F22" s="142">
        <v>0.01</v>
      </c>
      <c r="G22" s="146">
        <f t="shared" si="4"/>
        <v>0.12617142857142857</v>
      </c>
      <c r="H22" s="146">
        <f t="shared" si="5"/>
        <v>0.5526308571428572</v>
      </c>
      <c r="I22" s="146">
        <f t="shared" si="6"/>
        <v>0.14417142857142856</v>
      </c>
      <c r="J22" s="146">
        <f t="shared" si="0"/>
        <v>0.6314708571428571</v>
      </c>
      <c r="K22" s="146">
        <f t="shared" si="7"/>
        <v>0.144</v>
      </c>
      <c r="L22" s="146">
        <f t="shared" si="1"/>
        <v>0.63072</v>
      </c>
      <c r="M22" s="146">
        <f t="shared" si="8"/>
        <v>0.15137142857142857</v>
      </c>
      <c r="N22" s="146">
        <f t="shared" si="2"/>
        <v>0.6630068571428571</v>
      </c>
      <c r="O22" s="146">
        <f t="shared" si="9"/>
        <v>0.14674285714285715</v>
      </c>
      <c r="P22" s="146">
        <f t="shared" si="3"/>
        <v>0.6427337142857144</v>
      </c>
    </row>
    <row r="23" spans="1:16" ht="12">
      <c r="A23" s="143" t="s">
        <v>229</v>
      </c>
      <c r="B23" s="182" t="s">
        <v>348</v>
      </c>
      <c r="C23" s="182" t="s">
        <v>349</v>
      </c>
      <c r="D23" s="182" t="s">
        <v>345</v>
      </c>
      <c r="E23" s="144">
        <v>2000</v>
      </c>
      <c r="F23" s="142">
        <v>0.01</v>
      </c>
      <c r="G23" s="146">
        <f t="shared" si="4"/>
        <v>0.12617142857142857</v>
      </c>
      <c r="H23" s="146">
        <f t="shared" si="5"/>
        <v>0.5526308571428572</v>
      </c>
      <c r="I23" s="146">
        <f t="shared" si="6"/>
        <v>0.14417142857142856</v>
      </c>
      <c r="J23" s="146">
        <f t="shared" si="0"/>
        <v>0.6314708571428571</v>
      </c>
      <c r="K23" s="146">
        <f t="shared" si="7"/>
        <v>0.144</v>
      </c>
      <c r="L23" s="146">
        <f t="shared" si="1"/>
        <v>0.63072</v>
      </c>
      <c r="M23" s="146">
        <f t="shared" si="8"/>
        <v>0.15137142857142857</v>
      </c>
      <c r="N23" s="146">
        <f t="shared" si="2"/>
        <v>0.6630068571428571</v>
      </c>
      <c r="O23" s="146">
        <f t="shared" si="9"/>
        <v>0.14674285714285715</v>
      </c>
      <c r="P23" s="146">
        <f t="shared" si="3"/>
        <v>0.6427337142857144</v>
      </c>
    </row>
    <row r="24" spans="1:16" ht="12">
      <c r="A24" s="143" t="s">
        <v>229</v>
      </c>
      <c r="B24" s="182" t="s">
        <v>350</v>
      </c>
      <c r="C24" s="182" t="s">
        <v>351</v>
      </c>
      <c r="D24" s="182" t="s">
        <v>332</v>
      </c>
      <c r="E24" s="144">
        <v>15000</v>
      </c>
      <c r="F24" s="142">
        <v>0.01</v>
      </c>
      <c r="G24" s="146">
        <f t="shared" si="4"/>
        <v>0.9462857142857143</v>
      </c>
      <c r="H24" s="146">
        <f t="shared" si="5"/>
        <v>4.144731428571428</v>
      </c>
      <c r="I24" s="146">
        <f t="shared" si="6"/>
        <v>1.0812857142857144</v>
      </c>
      <c r="J24" s="146">
        <f t="shared" si="0"/>
        <v>4.73603142857143</v>
      </c>
      <c r="K24" s="146">
        <f t="shared" si="7"/>
        <v>1.08</v>
      </c>
      <c r="L24" s="146">
        <f t="shared" si="1"/>
        <v>4.7304</v>
      </c>
      <c r="M24" s="146">
        <f t="shared" si="8"/>
        <v>1.1352857142857145</v>
      </c>
      <c r="N24" s="146">
        <f t="shared" si="2"/>
        <v>4.972551428571429</v>
      </c>
      <c r="O24" s="146">
        <f t="shared" si="9"/>
        <v>1.1005714285714285</v>
      </c>
      <c r="P24" s="146">
        <f t="shared" si="3"/>
        <v>4.8205028571428565</v>
      </c>
    </row>
    <row r="25" spans="1:16" ht="12">
      <c r="A25" s="143" t="s">
        <v>229</v>
      </c>
      <c r="B25" s="182" t="s">
        <v>352</v>
      </c>
      <c r="C25" s="182" t="s">
        <v>353</v>
      </c>
      <c r="D25" s="182" t="s">
        <v>332</v>
      </c>
      <c r="E25" s="144">
        <v>2375</v>
      </c>
      <c r="F25" s="142">
        <v>0.01</v>
      </c>
      <c r="G25" s="146">
        <f t="shared" si="4"/>
        <v>0.14982857142857142</v>
      </c>
      <c r="H25" s="146">
        <f t="shared" si="5"/>
        <v>0.6562491428571429</v>
      </c>
      <c r="I25" s="146">
        <f t="shared" si="6"/>
        <v>0.17120357142857143</v>
      </c>
      <c r="J25" s="146">
        <f t="shared" si="0"/>
        <v>0.7498716428571429</v>
      </c>
      <c r="K25" s="146">
        <f t="shared" si="7"/>
        <v>0.17099999999999999</v>
      </c>
      <c r="L25" s="146">
        <f t="shared" si="1"/>
        <v>0.7489799999999999</v>
      </c>
      <c r="M25" s="146">
        <f t="shared" si="8"/>
        <v>0.17975357142857143</v>
      </c>
      <c r="N25" s="146">
        <f t="shared" si="2"/>
        <v>0.7873206428571429</v>
      </c>
      <c r="O25" s="146">
        <f t="shared" si="9"/>
        <v>0.17425714285714286</v>
      </c>
      <c r="P25" s="146">
        <f t="shared" si="3"/>
        <v>0.7632462857142857</v>
      </c>
    </row>
    <row r="26" spans="1:16" ht="12">
      <c r="A26" s="143" t="s">
        <v>229</v>
      </c>
      <c r="B26" s="182" t="s">
        <v>354</v>
      </c>
      <c r="C26" s="183" t="s">
        <v>355</v>
      </c>
      <c r="D26" s="182" t="s">
        <v>332</v>
      </c>
      <c r="E26" s="144">
        <v>2375</v>
      </c>
      <c r="F26" s="142">
        <v>0.01</v>
      </c>
      <c r="G26" s="146">
        <f t="shared" si="4"/>
        <v>0.14982857142857142</v>
      </c>
      <c r="H26" s="146">
        <f t="shared" si="5"/>
        <v>0.6562491428571429</v>
      </c>
      <c r="I26" s="146">
        <f t="shared" si="6"/>
        <v>0.17120357142857143</v>
      </c>
      <c r="J26" s="146">
        <f t="shared" si="0"/>
        <v>0.7498716428571429</v>
      </c>
      <c r="K26" s="146">
        <f t="shared" si="7"/>
        <v>0.17099999999999999</v>
      </c>
      <c r="L26" s="146">
        <f t="shared" si="1"/>
        <v>0.7489799999999999</v>
      </c>
      <c r="M26" s="146">
        <f t="shared" si="8"/>
        <v>0.17975357142857143</v>
      </c>
      <c r="N26" s="146">
        <f t="shared" si="2"/>
        <v>0.7873206428571429</v>
      </c>
      <c r="O26" s="146">
        <f t="shared" si="9"/>
        <v>0.17425714285714286</v>
      </c>
      <c r="P26" s="146">
        <f t="shared" si="3"/>
        <v>0.7632462857142857</v>
      </c>
    </row>
    <row r="27" spans="1:16" ht="12">
      <c r="A27" s="143" t="s">
        <v>229</v>
      </c>
      <c r="B27" s="182" t="s">
        <v>356</v>
      </c>
      <c r="C27" s="182" t="s">
        <v>357</v>
      </c>
      <c r="D27" s="182" t="s">
        <v>332</v>
      </c>
      <c r="E27" s="144">
        <v>15000</v>
      </c>
      <c r="F27" s="142">
        <v>0.01</v>
      </c>
      <c r="G27" s="146">
        <f t="shared" si="4"/>
        <v>0.9462857142857143</v>
      </c>
      <c r="H27" s="146">
        <f t="shared" si="5"/>
        <v>4.144731428571428</v>
      </c>
      <c r="I27" s="146">
        <f t="shared" si="6"/>
        <v>1.0812857142857144</v>
      </c>
      <c r="J27" s="146">
        <f t="shared" si="0"/>
        <v>4.73603142857143</v>
      </c>
      <c r="K27" s="146">
        <f t="shared" si="7"/>
        <v>1.08</v>
      </c>
      <c r="L27" s="146">
        <f t="shared" si="1"/>
        <v>4.7304</v>
      </c>
      <c r="M27" s="146">
        <f t="shared" si="8"/>
        <v>1.1352857142857145</v>
      </c>
      <c r="N27" s="146">
        <f t="shared" si="2"/>
        <v>4.972551428571429</v>
      </c>
      <c r="O27" s="146">
        <f t="shared" si="9"/>
        <v>1.1005714285714285</v>
      </c>
      <c r="P27" s="146">
        <f t="shared" si="3"/>
        <v>4.8205028571428565</v>
      </c>
    </row>
    <row r="28" spans="1:16" ht="12">
      <c r="A28" s="329"/>
      <c r="B28" s="327"/>
      <c r="C28" s="327"/>
      <c r="D28" s="327"/>
      <c r="E28" s="327"/>
      <c r="F28" s="328"/>
      <c r="G28" s="145">
        <f aca="true" t="shared" si="10" ref="G28:P28">SUM(G15:G27)</f>
        <v>5.863817142857142</v>
      </c>
      <c r="H28" s="145">
        <f t="shared" si="10"/>
        <v>25.683519085714284</v>
      </c>
      <c r="I28" s="145">
        <f t="shared" si="10"/>
        <v>6.700367142857142</v>
      </c>
      <c r="J28" s="145">
        <f t="shared" si="10"/>
        <v>29.347608085714292</v>
      </c>
      <c r="K28" s="145">
        <f t="shared" si="10"/>
        <v>6.692400000000001</v>
      </c>
      <c r="L28" s="145">
        <f t="shared" si="10"/>
        <v>29.312712</v>
      </c>
      <c r="M28" s="145">
        <f t="shared" si="10"/>
        <v>7.034987142857144</v>
      </c>
      <c r="N28" s="145">
        <f t="shared" si="10"/>
        <v>30.813243685714287</v>
      </c>
      <c r="O28" s="145">
        <f t="shared" si="10"/>
        <v>6.8198742857142856</v>
      </c>
      <c r="P28" s="145">
        <f t="shared" si="10"/>
        <v>29.87104937142857</v>
      </c>
    </row>
    <row r="29" spans="1:16" ht="12">
      <c r="A29" s="370" t="s">
        <v>255</v>
      </c>
      <c r="B29" s="327"/>
      <c r="C29" s="327"/>
      <c r="D29" s="327"/>
      <c r="E29" s="327"/>
      <c r="F29" s="327"/>
      <c r="G29" s="327"/>
      <c r="H29" s="327"/>
      <c r="I29" s="327"/>
      <c r="J29" s="327"/>
      <c r="K29" s="327"/>
      <c r="L29" s="327"/>
      <c r="M29" s="327"/>
      <c r="N29" s="327"/>
      <c r="O29" s="327"/>
      <c r="P29" s="328"/>
    </row>
    <row r="30" spans="1:16" ht="12">
      <c r="A30" s="143" t="s">
        <v>256</v>
      </c>
      <c r="B30" s="182" t="s">
        <v>358</v>
      </c>
      <c r="C30" s="183" t="s">
        <v>359</v>
      </c>
      <c r="D30" s="182" t="s">
        <v>332</v>
      </c>
      <c r="E30" s="144">
        <v>7000</v>
      </c>
      <c r="F30" s="142">
        <v>0.01</v>
      </c>
      <c r="G30" s="146">
        <f t="shared" si="4"/>
        <v>0.4416</v>
      </c>
      <c r="H30" s="146">
        <f>G30*8760/2000</f>
        <v>1.934208</v>
      </c>
      <c r="I30" s="146">
        <f>E30*F30/7000*60*$C$6</f>
        <v>0.5045999999999999</v>
      </c>
      <c r="J30" s="146">
        <f>I30*8760/2000</f>
        <v>2.210148</v>
      </c>
      <c r="K30" s="146">
        <f>E30*F30/7000*60*$C$7</f>
        <v>0.504</v>
      </c>
      <c r="L30" s="146">
        <f>K30*8760/2000</f>
        <v>2.20752</v>
      </c>
      <c r="M30" s="146">
        <f>E30*F30/7000*60*$C$8</f>
        <v>0.5297999999999999</v>
      </c>
      <c r="N30" s="146">
        <f>M30*8760/2000</f>
        <v>2.320524</v>
      </c>
      <c r="O30" s="146">
        <f>E30*F30/7000*60*$C$9</f>
        <v>0.5136</v>
      </c>
      <c r="P30" s="146">
        <f>O30*8760/2000</f>
        <v>2.2495679999999996</v>
      </c>
    </row>
    <row r="31" spans="1:16" ht="12">
      <c r="A31" s="143" t="s">
        <v>256</v>
      </c>
      <c r="B31" s="182" t="s">
        <v>360</v>
      </c>
      <c r="C31" s="182" t="s">
        <v>361</v>
      </c>
      <c r="D31" s="182" t="s">
        <v>332</v>
      </c>
      <c r="E31" s="144">
        <v>300</v>
      </c>
      <c r="F31" s="142">
        <v>0.01</v>
      </c>
      <c r="G31" s="146">
        <f t="shared" si="4"/>
        <v>0.018925714285714285</v>
      </c>
      <c r="H31" s="146">
        <f>G31*8760/2000</f>
        <v>0.08289462857142857</v>
      </c>
      <c r="I31" s="146">
        <f>E31*F31/7000*60*$C$6</f>
        <v>0.021625714285714283</v>
      </c>
      <c r="J31" s="146">
        <f>I31*8760/2000</f>
        <v>0.09472062857142856</v>
      </c>
      <c r="K31" s="146">
        <f>E31*F31/7000*60*$C$7</f>
        <v>0.021599999999999998</v>
      </c>
      <c r="L31" s="146">
        <f>K31*8760/2000</f>
        <v>0.09460799999999998</v>
      </c>
      <c r="M31" s="146">
        <f>E31*F31/7000*60*$C$8</f>
        <v>0.022705714285714284</v>
      </c>
      <c r="N31" s="146">
        <f>M31*8760/2000</f>
        <v>0.09945102857142857</v>
      </c>
      <c r="O31" s="146">
        <f>E31*F31/7000*60*$C$9</f>
        <v>0.02201142857142857</v>
      </c>
      <c r="P31" s="146">
        <f>O31*8760/2000</f>
        <v>0.09641005714285714</v>
      </c>
    </row>
    <row r="32" spans="1:16" ht="12">
      <c r="A32" s="143" t="s">
        <v>256</v>
      </c>
      <c r="B32" s="182" t="s">
        <v>362</v>
      </c>
      <c r="C32" s="182" t="s">
        <v>363</v>
      </c>
      <c r="D32" s="182" t="s">
        <v>332</v>
      </c>
      <c r="E32" s="144">
        <v>300</v>
      </c>
      <c r="F32" s="142">
        <v>0.01</v>
      </c>
      <c r="G32" s="146">
        <f t="shared" si="4"/>
        <v>0.018925714285714285</v>
      </c>
      <c r="H32" s="146">
        <f>G32*8760/2000</f>
        <v>0.08289462857142857</v>
      </c>
      <c r="I32" s="146">
        <f>E32*F32/7000*60*$C$6</f>
        <v>0.021625714285714283</v>
      </c>
      <c r="J32" s="146">
        <f>I32*8760/2000</f>
        <v>0.09472062857142856</v>
      </c>
      <c r="K32" s="146">
        <f>E32*F32/7000*60*$C$7</f>
        <v>0.021599999999999998</v>
      </c>
      <c r="L32" s="146">
        <f>K32*8760/2000</f>
        <v>0.09460799999999998</v>
      </c>
      <c r="M32" s="146">
        <f>E32*F32/7000*60*$C$8</f>
        <v>0.022705714285714284</v>
      </c>
      <c r="N32" s="146">
        <f>M32*8760/2000</f>
        <v>0.09945102857142857</v>
      </c>
      <c r="O32" s="146">
        <f>E32*F32/7000*60*$C$9</f>
        <v>0.02201142857142857</v>
      </c>
      <c r="P32" s="146">
        <f>O32*8760/2000</f>
        <v>0.09641005714285714</v>
      </c>
    </row>
    <row r="33" spans="1:16" ht="12">
      <c r="A33" s="329"/>
      <c r="B33" s="327"/>
      <c r="C33" s="327"/>
      <c r="D33" s="327"/>
      <c r="E33" s="327"/>
      <c r="F33" s="328"/>
      <c r="G33" s="145">
        <f aca="true" t="shared" si="11" ref="G33:P33">SUM(G30:G32)</f>
        <v>0.47945142857142853</v>
      </c>
      <c r="H33" s="145">
        <f t="shared" si="11"/>
        <v>2.0999972571428573</v>
      </c>
      <c r="I33" s="145">
        <f t="shared" si="11"/>
        <v>0.5478514285714284</v>
      </c>
      <c r="J33" s="145">
        <f t="shared" si="11"/>
        <v>2.3995892571428565</v>
      </c>
      <c r="K33" s="145">
        <f t="shared" si="11"/>
        <v>0.5471999999999999</v>
      </c>
      <c r="L33" s="145">
        <f t="shared" si="11"/>
        <v>2.396736</v>
      </c>
      <c r="M33" s="145">
        <f t="shared" si="11"/>
        <v>0.5752114285714286</v>
      </c>
      <c r="N33" s="145">
        <f t="shared" si="11"/>
        <v>2.519426057142857</v>
      </c>
      <c r="O33" s="145">
        <f t="shared" si="11"/>
        <v>0.5576228571428571</v>
      </c>
      <c r="P33" s="145">
        <f t="shared" si="11"/>
        <v>2.442388114285714</v>
      </c>
    </row>
    <row r="34" spans="1:16" ht="12">
      <c r="A34" s="338" t="s">
        <v>312</v>
      </c>
      <c r="B34" s="339"/>
      <c r="C34" s="339"/>
      <c r="D34" s="339"/>
      <c r="E34" s="339"/>
      <c r="F34" s="326"/>
      <c r="G34" s="145">
        <f>G28+G33</f>
        <v>6.34326857142857</v>
      </c>
      <c r="H34" s="145">
        <f aca="true" t="shared" si="12" ref="H34:P34">H28+H33</f>
        <v>27.78351634285714</v>
      </c>
      <c r="I34" s="145">
        <f t="shared" si="12"/>
        <v>7.248218571428571</v>
      </c>
      <c r="J34" s="145">
        <f t="shared" si="12"/>
        <v>31.74719734285715</v>
      </c>
      <c r="K34" s="145">
        <f t="shared" si="12"/>
        <v>7.239600000000001</v>
      </c>
      <c r="L34" s="145">
        <f t="shared" si="12"/>
        <v>31.709448000000002</v>
      </c>
      <c r="M34" s="145">
        <f t="shared" si="12"/>
        <v>7.6101985714285725</v>
      </c>
      <c r="N34" s="145">
        <f t="shared" si="12"/>
        <v>33.33266974285714</v>
      </c>
      <c r="O34" s="145">
        <f t="shared" si="12"/>
        <v>7.377497142857143</v>
      </c>
      <c r="P34" s="145">
        <f t="shared" si="12"/>
        <v>32.31343748571428</v>
      </c>
    </row>
    <row r="35" spans="1:16" ht="12">
      <c r="A35" s="65"/>
      <c r="B35" s="184"/>
      <c r="C35" s="185"/>
      <c r="D35" s="184"/>
      <c r="E35" s="186"/>
      <c r="F35" s="187"/>
      <c r="G35" s="181"/>
      <c r="H35" s="181"/>
      <c r="I35" s="181"/>
      <c r="J35" s="181"/>
      <c r="K35" s="181"/>
      <c r="L35" s="181"/>
      <c r="M35" s="181"/>
      <c r="N35" s="181"/>
      <c r="O35" s="181"/>
      <c r="P35" s="181"/>
    </row>
    <row r="36" spans="1:16" ht="12">
      <c r="A36" s="188" t="s">
        <v>364</v>
      </c>
      <c r="B36" s="160"/>
      <c r="C36" s="160"/>
      <c r="D36" s="160"/>
      <c r="E36" s="160"/>
      <c r="F36" s="160"/>
      <c r="G36" s="160"/>
      <c r="H36" s="160"/>
      <c r="I36" s="160"/>
      <c r="J36" s="160"/>
      <c r="K36" s="160"/>
      <c r="L36" s="160"/>
      <c r="M36" s="160"/>
      <c r="N36" s="160"/>
      <c r="O36" s="160"/>
      <c r="P36" s="160"/>
    </row>
    <row r="37" spans="1:16" ht="12">
      <c r="A37" s="188" t="s">
        <v>365</v>
      </c>
      <c r="B37" s="160"/>
      <c r="C37" s="160"/>
      <c r="D37" s="160"/>
      <c r="E37" s="160"/>
      <c r="F37" s="160"/>
      <c r="G37" s="160"/>
      <c r="H37" s="160"/>
      <c r="I37" s="160"/>
      <c r="J37" s="160"/>
      <c r="K37" s="160"/>
      <c r="L37" s="160"/>
      <c r="M37" s="160"/>
      <c r="N37" s="160"/>
      <c r="O37" s="160"/>
      <c r="P37" s="160"/>
    </row>
    <row r="38" spans="1:16" ht="12">
      <c r="A38" s="188" t="s">
        <v>440</v>
      </c>
      <c r="B38" s="160"/>
      <c r="C38" s="160"/>
      <c r="D38" s="160"/>
      <c r="E38" s="160"/>
      <c r="F38" s="160"/>
      <c r="G38" s="160"/>
      <c r="H38" s="160"/>
      <c r="I38" s="160"/>
      <c r="J38" s="160"/>
      <c r="K38" s="160"/>
      <c r="L38" s="160"/>
      <c r="M38" s="160"/>
      <c r="N38" s="160"/>
      <c r="O38" s="160"/>
      <c r="P38" s="160"/>
    </row>
    <row r="39" spans="1:16" ht="12">
      <c r="A39" s="188" t="s">
        <v>366</v>
      </c>
      <c r="B39" s="160"/>
      <c r="C39" s="160"/>
      <c r="D39" s="160"/>
      <c r="E39" s="160"/>
      <c r="F39" s="160"/>
      <c r="G39" s="160"/>
      <c r="H39" s="160"/>
      <c r="I39" s="160"/>
      <c r="J39" s="160"/>
      <c r="K39" s="160"/>
      <c r="L39" s="160"/>
      <c r="M39" s="160"/>
      <c r="N39" s="160"/>
      <c r="O39" s="160"/>
      <c r="P39" s="160"/>
    </row>
    <row r="40" spans="1:16" ht="12">
      <c r="A40" s="188" t="s">
        <v>367</v>
      </c>
      <c r="B40" s="160"/>
      <c r="C40" s="160"/>
      <c r="D40" s="160"/>
      <c r="E40" s="160"/>
      <c r="F40" s="160"/>
      <c r="G40" s="160"/>
      <c r="H40" s="160"/>
      <c r="I40" s="160"/>
      <c r="J40" s="160"/>
      <c r="K40" s="160"/>
      <c r="L40" s="160"/>
      <c r="M40" s="160"/>
      <c r="N40" s="160"/>
      <c r="O40" s="160"/>
      <c r="P40" s="160"/>
    </row>
    <row r="41" spans="1:16" ht="12">
      <c r="A41" s="58" t="s">
        <v>368</v>
      </c>
      <c r="B41" s="160"/>
      <c r="C41" s="160"/>
      <c r="D41" s="160"/>
      <c r="E41" s="160"/>
      <c r="F41" s="160"/>
      <c r="G41" s="160"/>
      <c r="H41" s="160"/>
      <c r="I41" s="160"/>
      <c r="J41" s="160"/>
      <c r="K41" s="160"/>
      <c r="L41" s="160"/>
      <c r="M41" s="160"/>
      <c r="N41" s="160"/>
      <c r="O41" s="160"/>
      <c r="P41" s="160"/>
    </row>
    <row r="42" spans="1:16" ht="12">
      <c r="A42" s="58"/>
      <c r="B42" s="160"/>
      <c r="C42" s="160"/>
      <c r="D42" s="160"/>
      <c r="E42" s="160"/>
      <c r="F42" s="160"/>
      <c r="G42" s="160"/>
      <c r="H42" s="160"/>
      <c r="I42" s="160"/>
      <c r="J42" s="160"/>
      <c r="K42" s="160"/>
      <c r="L42" s="160"/>
      <c r="M42" s="160"/>
      <c r="N42" s="160"/>
      <c r="O42" s="160"/>
      <c r="P42" s="160"/>
    </row>
    <row r="43" spans="1:16" ht="12">
      <c r="A43" s="58"/>
      <c r="B43" s="160"/>
      <c r="C43" s="160"/>
      <c r="D43" s="160"/>
      <c r="E43" s="160"/>
      <c r="F43" s="160"/>
      <c r="G43" s="160"/>
      <c r="H43" s="160"/>
      <c r="I43" s="160"/>
      <c r="J43" s="160"/>
      <c r="K43" s="160"/>
      <c r="L43" s="160"/>
      <c r="M43" s="160"/>
      <c r="N43" s="160"/>
      <c r="O43" s="160"/>
      <c r="P43" s="160"/>
    </row>
    <row r="44" spans="1:16" ht="12">
      <c r="A44" s="58"/>
      <c r="B44" s="160"/>
      <c r="C44" s="160"/>
      <c r="D44" s="160"/>
      <c r="E44" s="160"/>
      <c r="F44" s="160"/>
      <c r="G44" s="160"/>
      <c r="H44" s="160"/>
      <c r="I44" s="160"/>
      <c r="J44" s="160"/>
      <c r="K44" s="160"/>
      <c r="L44" s="160"/>
      <c r="M44" s="160"/>
      <c r="N44" s="160"/>
      <c r="O44" s="160"/>
      <c r="P44" s="160"/>
    </row>
    <row r="45" spans="1:16" ht="12">
      <c r="A45" s="58"/>
      <c r="B45" s="160"/>
      <c r="C45" s="160"/>
      <c r="D45" s="160"/>
      <c r="E45" s="160"/>
      <c r="F45" s="160"/>
      <c r="G45" s="160"/>
      <c r="H45" s="160"/>
      <c r="I45" s="160"/>
      <c r="J45" s="160"/>
      <c r="K45" s="160"/>
      <c r="L45" s="160"/>
      <c r="M45" s="160"/>
      <c r="N45" s="160"/>
      <c r="O45" s="160"/>
      <c r="P45" s="160"/>
    </row>
    <row r="46" spans="1:16" ht="12">
      <c r="A46" s="58"/>
      <c r="B46" s="160"/>
      <c r="C46" s="160"/>
      <c r="D46" s="160"/>
      <c r="E46" s="160"/>
      <c r="F46" s="160"/>
      <c r="G46" s="160"/>
      <c r="H46" s="160"/>
      <c r="I46" s="160"/>
      <c r="J46" s="160"/>
      <c r="K46" s="160"/>
      <c r="L46" s="160"/>
      <c r="M46" s="160"/>
      <c r="N46" s="160"/>
      <c r="O46" s="160"/>
      <c r="P46" s="160"/>
    </row>
    <row r="47" spans="1:16" ht="12">
      <c r="A47" s="58"/>
      <c r="B47" s="160"/>
      <c r="C47" s="160"/>
      <c r="D47" s="160"/>
      <c r="E47" s="160"/>
      <c r="F47" s="160"/>
      <c r="G47" s="160"/>
      <c r="H47" s="160"/>
      <c r="I47" s="160"/>
      <c r="J47" s="160"/>
      <c r="K47" s="160"/>
      <c r="L47" s="160"/>
      <c r="M47" s="160"/>
      <c r="N47" s="160"/>
      <c r="O47" s="160"/>
      <c r="P47" s="160"/>
    </row>
    <row r="48" spans="1:16" ht="12">
      <c r="A48" s="58"/>
      <c r="B48" s="160"/>
      <c r="C48" s="160"/>
      <c r="D48" s="160"/>
      <c r="E48" s="160"/>
      <c r="F48" s="160"/>
      <c r="G48" s="160"/>
      <c r="H48" s="160"/>
      <c r="I48" s="160"/>
      <c r="J48" s="160"/>
      <c r="K48" s="160"/>
      <c r="L48" s="160"/>
      <c r="M48" s="160"/>
      <c r="N48" s="160"/>
      <c r="O48" s="160"/>
      <c r="P48" s="160"/>
    </row>
    <row r="49" spans="2:16" ht="12">
      <c r="B49" s="95"/>
      <c r="C49" s="95"/>
      <c r="D49" s="95"/>
      <c r="E49" s="95"/>
      <c r="F49" s="95"/>
      <c r="G49" s="95"/>
      <c r="H49" s="95"/>
      <c r="I49" s="95"/>
      <c r="J49" s="95"/>
      <c r="K49" s="95"/>
      <c r="L49" s="95"/>
      <c r="M49" s="95"/>
      <c r="N49" s="95"/>
      <c r="O49" s="95"/>
      <c r="P49" s="95"/>
    </row>
  </sheetData>
  <sheetProtection/>
  <mergeCells count="21">
    <mergeCell ref="A14:P14"/>
    <mergeCell ref="G12:H12"/>
    <mergeCell ref="I11:J11"/>
    <mergeCell ref="A34:F34"/>
    <mergeCell ref="A29:P29"/>
    <mergeCell ref="A12:A13"/>
    <mergeCell ref="O12:P12"/>
    <mergeCell ref="F12:F13"/>
    <mergeCell ref="A33:F33"/>
    <mergeCell ref="K12:L12"/>
    <mergeCell ref="A28:F28"/>
    <mergeCell ref="I12:J12"/>
    <mergeCell ref="B12:B13"/>
    <mergeCell ref="O11:P11"/>
    <mergeCell ref="E12:E13"/>
    <mergeCell ref="M11:N11"/>
    <mergeCell ref="C12:C13"/>
    <mergeCell ref="G11:H11"/>
    <mergeCell ref="A11:F11"/>
    <mergeCell ref="M12:N12"/>
    <mergeCell ref="K11:L11"/>
  </mergeCells>
  <printOptions/>
  <pageMargins left="1" right="0.31" top="1" bottom="1" header="0.5" footer="0.5"/>
  <pageSetup fitToHeight="1" fitToWidth="1" horizontalDpi="600" verticalDpi="600" orientation="landscape" scale="85" r:id="rId1"/>
</worksheet>
</file>

<file path=xl/worksheets/sheet8.xml><?xml version="1.0" encoding="utf-8"?>
<worksheet xmlns="http://schemas.openxmlformats.org/spreadsheetml/2006/main" xmlns:r="http://schemas.openxmlformats.org/officeDocument/2006/relationships">
  <sheetPr codeName="Sheet11"/>
  <dimension ref="A2:G43"/>
  <sheetViews>
    <sheetView zoomScalePageLayoutView="0" workbookViewId="0" topLeftCell="A34">
      <selection activeCell="A7" sqref="A7"/>
    </sheetView>
  </sheetViews>
  <sheetFormatPr defaultColWidth="9.140625" defaultRowHeight="12" customHeight="1"/>
  <cols>
    <col min="1" max="1" width="22.28125" style="230" customWidth="1"/>
    <col min="2" max="2" width="59.140625" style="231" customWidth="1"/>
    <col min="3" max="3" width="45.57421875" style="231" customWidth="1"/>
    <col min="4" max="16384" width="9.140625" style="230" customWidth="1"/>
  </cols>
  <sheetData>
    <row r="2" spans="1:3" ht="66.75" customHeight="1">
      <c r="A2" s="330" t="s">
        <v>0</v>
      </c>
      <c r="B2" s="331"/>
      <c r="C2" s="331"/>
    </row>
    <row r="4" ht="12" customHeight="1">
      <c r="A4" s="230" t="s">
        <v>567</v>
      </c>
    </row>
    <row r="5" ht="14.25" customHeight="1" thickBot="1">
      <c r="A5" s="232"/>
    </row>
    <row r="6" spans="1:3" ht="24" customHeight="1" thickBot="1" thickTop="1">
      <c r="A6" s="321" t="s">
        <v>493</v>
      </c>
      <c r="B6" s="322"/>
      <c r="C6" s="323" t="s">
        <v>463</v>
      </c>
    </row>
    <row r="7" spans="1:3" ht="24.75" customHeight="1" thickTop="1">
      <c r="A7" s="211" t="s">
        <v>469</v>
      </c>
      <c r="B7" s="216" t="s">
        <v>540</v>
      </c>
      <c r="C7" s="233" t="s">
        <v>473</v>
      </c>
    </row>
    <row r="8" spans="1:3" ht="15.75" customHeight="1">
      <c r="A8" s="211" t="s">
        <v>214</v>
      </c>
      <c r="B8" s="216" t="s">
        <v>558</v>
      </c>
      <c r="C8" s="233" t="s">
        <v>541</v>
      </c>
    </row>
    <row r="9" spans="1:7" ht="15.75" customHeight="1">
      <c r="A9" s="332" t="s">
        <v>470</v>
      </c>
      <c r="B9" s="325" t="s">
        <v>559</v>
      </c>
      <c r="C9" s="233" t="s">
        <v>8</v>
      </c>
      <c r="E9" s="234"/>
      <c r="F9" s="234"/>
      <c r="G9" s="234"/>
    </row>
    <row r="10" spans="1:7" ht="15.75" customHeight="1">
      <c r="A10" s="333"/>
      <c r="B10" s="374"/>
      <c r="C10" s="233" t="s">
        <v>483</v>
      </c>
      <c r="E10" s="234"/>
      <c r="F10" s="234"/>
      <c r="G10" s="234"/>
    </row>
    <row r="11" spans="1:3" ht="15.75" customHeight="1">
      <c r="A11" s="334"/>
      <c r="B11" s="375"/>
      <c r="C11" s="233" t="s">
        <v>484</v>
      </c>
    </row>
    <row r="12" spans="1:7" ht="15.75" customHeight="1">
      <c r="A12" s="332" t="s">
        <v>561</v>
      </c>
      <c r="B12" s="325" t="s">
        <v>467</v>
      </c>
      <c r="C12" s="233" t="s">
        <v>485</v>
      </c>
      <c r="E12" s="234"/>
      <c r="F12" s="234"/>
      <c r="G12" s="234"/>
    </row>
    <row r="13" spans="1:3" ht="15.75" customHeight="1">
      <c r="A13" s="333"/>
      <c r="B13" s="374"/>
      <c r="C13" s="233" t="s">
        <v>486</v>
      </c>
    </row>
    <row r="14" spans="1:6" ht="15.75" customHeight="1">
      <c r="A14" s="334"/>
      <c r="B14" s="375"/>
      <c r="C14" s="233" t="s">
        <v>487</v>
      </c>
      <c r="E14" s="234"/>
      <c r="F14" s="234"/>
    </row>
    <row r="15" spans="1:3" ht="15.75" customHeight="1">
      <c r="A15" s="211" t="s">
        <v>562</v>
      </c>
      <c r="B15" s="216" t="s">
        <v>468</v>
      </c>
      <c r="C15" s="233" t="s">
        <v>474</v>
      </c>
    </row>
    <row r="16" spans="1:3" ht="15.75" customHeight="1">
      <c r="A16" s="211" t="s">
        <v>460</v>
      </c>
      <c r="B16" s="216" t="s">
        <v>568</v>
      </c>
      <c r="C16" s="212" t="s">
        <v>475</v>
      </c>
    </row>
    <row r="17" spans="1:3" ht="15.75" customHeight="1">
      <c r="A17" s="332" t="s">
        <v>457</v>
      </c>
      <c r="B17" s="325" t="s">
        <v>563</v>
      </c>
      <c r="C17" s="233" t="s">
        <v>480</v>
      </c>
    </row>
    <row r="18" spans="1:3" ht="15.75" customHeight="1">
      <c r="A18" s="333"/>
      <c r="B18" s="374"/>
      <c r="C18" s="233" t="s">
        <v>481</v>
      </c>
    </row>
    <row r="19" spans="1:3" ht="15.75" customHeight="1">
      <c r="A19" s="333"/>
      <c r="B19" s="374"/>
      <c r="C19" s="233" t="s">
        <v>482</v>
      </c>
    </row>
    <row r="20" spans="1:3" ht="15.75" customHeight="1">
      <c r="A20" s="333"/>
      <c r="B20" s="374"/>
      <c r="C20" s="233" t="s">
        <v>476</v>
      </c>
    </row>
    <row r="21" spans="1:3" ht="15.75" customHeight="1">
      <c r="A21" s="334"/>
      <c r="B21" s="375"/>
      <c r="C21" s="233" t="s">
        <v>477</v>
      </c>
    </row>
    <row r="22" spans="1:3" ht="12.75">
      <c r="A22" s="332" t="s">
        <v>472</v>
      </c>
      <c r="B22" s="325" t="s">
        <v>573</v>
      </c>
      <c r="C22" s="233" t="s">
        <v>479</v>
      </c>
    </row>
    <row r="23" spans="1:3" ht="38.25">
      <c r="A23" s="333"/>
      <c r="B23" s="374"/>
      <c r="C23" s="233" t="s">
        <v>488</v>
      </c>
    </row>
    <row r="24" spans="1:3" ht="15.75" customHeight="1" thickBot="1">
      <c r="A24" s="385"/>
      <c r="B24" s="386"/>
      <c r="C24" s="235" t="s">
        <v>478</v>
      </c>
    </row>
    <row r="25" ht="6.75" customHeight="1" thickTop="1"/>
    <row r="26" ht="6.75" customHeight="1" thickBot="1"/>
    <row r="27" spans="1:3" ht="24" customHeight="1" thickBot="1" thickTop="1">
      <c r="A27" s="321" t="s">
        <v>494</v>
      </c>
      <c r="B27" s="322"/>
      <c r="C27" s="324" t="s">
        <v>463</v>
      </c>
    </row>
    <row r="28" spans="1:3" ht="17.25" customHeight="1" thickTop="1">
      <c r="A28" s="382" t="s">
        <v>564</v>
      </c>
      <c r="B28" s="390" t="s">
        <v>491</v>
      </c>
      <c r="C28" s="392" t="s">
        <v>465</v>
      </c>
    </row>
    <row r="29" spans="1:3" ht="24.75" customHeight="1">
      <c r="A29" s="383"/>
      <c r="B29" s="391"/>
      <c r="C29" s="393"/>
    </row>
    <row r="30" spans="1:3" ht="15" customHeight="1">
      <c r="A30" s="383"/>
      <c r="B30" s="387" t="s">
        <v>577</v>
      </c>
      <c r="C30" s="217" t="s">
        <v>464</v>
      </c>
    </row>
    <row r="31" spans="1:3" ht="15" customHeight="1">
      <c r="A31" s="383"/>
      <c r="B31" s="388"/>
      <c r="C31" s="217" t="s">
        <v>572</v>
      </c>
    </row>
    <row r="32" spans="1:3" ht="17.25" customHeight="1">
      <c r="A32" s="384"/>
      <c r="B32" s="389"/>
      <c r="C32" s="217" t="s">
        <v>489</v>
      </c>
    </row>
    <row r="33" spans="1:3" ht="25.5">
      <c r="A33" s="236" t="s">
        <v>565</v>
      </c>
      <c r="B33" s="216" t="s">
        <v>501</v>
      </c>
      <c r="C33" s="265">
        <v>1105</v>
      </c>
    </row>
    <row r="34" spans="1:5" ht="30" customHeight="1">
      <c r="A34" s="211" t="s">
        <v>454</v>
      </c>
      <c r="B34" s="216" t="s">
        <v>500</v>
      </c>
      <c r="C34" s="217" t="s">
        <v>499</v>
      </c>
      <c r="E34" s="237"/>
    </row>
    <row r="35" spans="1:5" ht="12.75">
      <c r="A35" s="211" t="s">
        <v>11</v>
      </c>
      <c r="B35" s="376" t="s">
        <v>569</v>
      </c>
      <c r="C35" s="377"/>
      <c r="E35" s="237"/>
    </row>
    <row r="36" spans="1:3" ht="12.75">
      <c r="A36" s="211" t="s">
        <v>461</v>
      </c>
      <c r="B36" s="378"/>
      <c r="C36" s="379"/>
    </row>
    <row r="37" spans="1:3" ht="12.75">
      <c r="A37" s="211" t="s">
        <v>462</v>
      </c>
      <c r="B37" s="380"/>
      <c r="C37" s="381"/>
    </row>
    <row r="38" spans="1:3" ht="17.25" customHeight="1">
      <c r="A38" s="236" t="s">
        <v>498</v>
      </c>
      <c r="B38" s="216" t="s">
        <v>466</v>
      </c>
      <c r="C38" s="217" t="s">
        <v>490</v>
      </c>
    </row>
    <row r="39" spans="1:3" ht="38.25">
      <c r="A39" s="236" t="s">
        <v>554</v>
      </c>
      <c r="B39" s="216" t="s">
        <v>555</v>
      </c>
      <c r="C39" s="217" t="s">
        <v>556</v>
      </c>
    </row>
    <row r="40" spans="1:3" ht="25.5" customHeight="1">
      <c r="A40" s="211" t="s">
        <v>328</v>
      </c>
      <c r="B40" s="218" t="s">
        <v>570</v>
      </c>
      <c r="C40" s="217">
        <f>500*0.031*500</f>
        <v>7750</v>
      </c>
    </row>
    <row r="41" spans="1:3" ht="25.5">
      <c r="A41" s="236" t="s">
        <v>566</v>
      </c>
      <c r="B41" s="216" t="s">
        <v>502</v>
      </c>
      <c r="C41" s="217">
        <v>500</v>
      </c>
    </row>
    <row r="42" spans="1:5" ht="24" customHeight="1">
      <c r="A42" s="211" t="s">
        <v>454</v>
      </c>
      <c r="B42" s="216" t="s">
        <v>503</v>
      </c>
      <c r="C42" s="217" t="s">
        <v>504</v>
      </c>
      <c r="E42" s="237"/>
    </row>
    <row r="43" spans="1:3" ht="30.75" customHeight="1" thickBot="1">
      <c r="A43" s="238" t="s">
        <v>505</v>
      </c>
      <c r="B43" s="239" t="s">
        <v>571</v>
      </c>
      <c r="C43" s="240" t="s">
        <v>506</v>
      </c>
    </row>
    <row r="44" ht="25.5" customHeight="1" thickTop="1"/>
  </sheetData>
  <sheetProtection/>
  <mergeCells count="14">
    <mergeCell ref="B35:C37"/>
    <mergeCell ref="A28:A32"/>
    <mergeCell ref="A22:A24"/>
    <mergeCell ref="B22:B24"/>
    <mergeCell ref="B30:B32"/>
    <mergeCell ref="B28:B29"/>
    <mergeCell ref="C28:C29"/>
    <mergeCell ref="A2:C2"/>
    <mergeCell ref="A9:A11"/>
    <mergeCell ref="B9:B11"/>
    <mergeCell ref="A17:A21"/>
    <mergeCell ref="B17:B21"/>
    <mergeCell ref="A12:A14"/>
    <mergeCell ref="B12:B14"/>
  </mergeCells>
  <printOptions horizontalCentered="1"/>
  <pageMargins left="0.5" right="0.5" top="1" bottom="1" header="0.5" footer="0.5"/>
  <pageSetup horizontalDpi="600" verticalDpi="600" orientation="portrait" scale="77" r:id="rId1"/>
  <headerFooter alignWithMargins="0">
    <oddHeader>&amp;C&amp;"Arial,Bold"&amp;12Air Emissions Calculations - Instructions</oddHeader>
    <oddFooter>&amp;R&amp;A
Print Date: &amp;D</oddFooter>
  </headerFooter>
</worksheet>
</file>

<file path=xl/worksheets/sheet9.xml><?xml version="1.0" encoding="utf-8"?>
<worksheet xmlns="http://schemas.openxmlformats.org/spreadsheetml/2006/main" xmlns:r="http://schemas.openxmlformats.org/officeDocument/2006/relationships">
  <sheetPr codeName="Sheet5">
    <pageSetUpPr fitToPage="1"/>
  </sheetPr>
  <dimension ref="A2:J29"/>
  <sheetViews>
    <sheetView zoomScalePageLayoutView="0" workbookViewId="0" topLeftCell="A1">
      <selection activeCell="B44" sqref="B44"/>
    </sheetView>
  </sheetViews>
  <sheetFormatPr defaultColWidth="9.140625" defaultRowHeight="12"/>
  <cols>
    <col min="1" max="1" width="10.421875" style="219" customWidth="1"/>
    <col min="2" max="2" width="19.57421875" style="219" customWidth="1"/>
    <col min="3" max="3" width="11.421875" style="219" bestFit="1" customWidth="1"/>
    <col min="4" max="4" width="12.00390625" style="219" customWidth="1"/>
    <col min="5" max="5" width="11.8515625" style="219" customWidth="1"/>
    <col min="6" max="6" width="29.421875" style="219" bestFit="1" customWidth="1"/>
    <col min="7" max="7" width="11.140625" style="219" customWidth="1"/>
    <col min="8" max="8" width="9.28125" style="219" customWidth="1"/>
    <col min="9" max="9" width="9.8515625" style="219" customWidth="1"/>
    <col min="10" max="10" width="29.00390625" style="219" customWidth="1"/>
    <col min="11" max="16384" width="9.140625" style="219" customWidth="1"/>
  </cols>
  <sheetData>
    <row r="1" ht="13.5" thickBot="1"/>
    <row r="2" spans="1:10" s="220" customFormat="1" ht="15" customHeight="1" thickTop="1">
      <c r="A2" s="396" t="s">
        <v>458</v>
      </c>
      <c r="B2" s="397" t="s">
        <v>214</v>
      </c>
      <c r="C2" s="397" t="s">
        <v>11</v>
      </c>
      <c r="D2" s="397" t="s">
        <v>455</v>
      </c>
      <c r="E2" s="407" t="s">
        <v>456</v>
      </c>
      <c r="F2" s="396" t="s">
        <v>457</v>
      </c>
      <c r="G2" s="397"/>
      <c r="H2" s="397"/>
      <c r="I2" s="398"/>
      <c r="J2" s="394" t="s">
        <v>472</v>
      </c>
    </row>
    <row r="3" spans="1:10" s="210" customFormat="1" ht="15" customHeight="1" thickBot="1">
      <c r="A3" s="411"/>
      <c r="B3" s="406"/>
      <c r="C3" s="406"/>
      <c r="D3" s="406"/>
      <c r="E3" s="408"/>
      <c r="F3" s="213" t="s">
        <v>460</v>
      </c>
      <c r="G3" s="214" t="s">
        <v>459</v>
      </c>
      <c r="H3" s="214" t="s">
        <v>471</v>
      </c>
      <c r="I3" s="215" t="s">
        <v>454</v>
      </c>
      <c r="J3" s="395"/>
    </row>
    <row r="4" spans="1:10" s="247" customFormat="1" ht="15" customHeight="1" thickTop="1">
      <c r="A4" s="412" t="s">
        <v>508</v>
      </c>
      <c r="B4" s="404" t="s">
        <v>545</v>
      </c>
      <c r="C4" s="404" t="s">
        <v>8</v>
      </c>
      <c r="D4" s="400">
        <f>H4*0.0032*(((H5/5)^1.3)/((H6/2)^1.4))</f>
        <v>0.0008340852382871555</v>
      </c>
      <c r="E4" s="402" t="s">
        <v>474</v>
      </c>
      <c r="F4" s="410" t="s">
        <v>475</v>
      </c>
      <c r="G4" s="244" t="s">
        <v>511</v>
      </c>
      <c r="H4" s="245">
        <v>0.74</v>
      </c>
      <c r="I4" s="246" t="s">
        <v>515</v>
      </c>
      <c r="J4" s="243" t="s">
        <v>479</v>
      </c>
    </row>
    <row r="5" spans="1:10" s="241" customFormat="1" ht="15" customHeight="1">
      <c r="A5" s="413"/>
      <c r="B5" s="405"/>
      <c r="C5" s="405"/>
      <c r="D5" s="401"/>
      <c r="E5" s="403"/>
      <c r="F5" s="409"/>
      <c r="G5" s="248" t="s">
        <v>512</v>
      </c>
      <c r="H5" s="249">
        <v>6.4</v>
      </c>
      <c r="I5" s="250" t="s">
        <v>516</v>
      </c>
      <c r="J5" s="243" t="s">
        <v>519</v>
      </c>
    </row>
    <row r="6" spans="1:10" s="241" customFormat="1" ht="15" customHeight="1">
      <c r="A6" s="413"/>
      <c r="B6" s="405"/>
      <c r="C6" s="405"/>
      <c r="D6" s="401"/>
      <c r="E6" s="403"/>
      <c r="F6" s="409"/>
      <c r="G6" s="248" t="s">
        <v>513</v>
      </c>
      <c r="H6" s="251">
        <v>5.3</v>
      </c>
      <c r="I6" s="250" t="s">
        <v>517</v>
      </c>
      <c r="J6" s="252" t="s">
        <v>520</v>
      </c>
    </row>
    <row r="7" spans="1:10" s="241" customFormat="1" ht="15" customHeight="1">
      <c r="A7" s="413"/>
      <c r="B7" s="405"/>
      <c r="C7" s="405" t="s">
        <v>510</v>
      </c>
      <c r="D7" s="401">
        <f>H7*0.0032*(((H8/5)^1.3)/((H9/2)^1.4))</f>
        <v>0.0003944997748655465</v>
      </c>
      <c r="E7" s="403" t="s">
        <v>474</v>
      </c>
      <c r="F7" s="409" t="s">
        <v>475</v>
      </c>
      <c r="G7" s="248" t="str">
        <f aca="true" t="shared" si="0" ref="G7:G12">G4</f>
        <v>k</v>
      </c>
      <c r="H7" s="253">
        <v>0.35</v>
      </c>
      <c r="I7" s="250" t="str">
        <f aca="true" t="shared" si="1" ref="I7:J12">I4</f>
        <v>none</v>
      </c>
      <c r="J7" s="243" t="str">
        <f t="shared" si="1"/>
        <v>AP42 13.2.4 Equation 1 (11/06)</v>
      </c>
    </row>
    <row r="8" spans="1:10" s="241" customFormat="1" ht="15" customHeight="1">
      <c r="A8" s="413"/>
      <c r="B8" s="405"/>
      <c r="C8" s="405"/>
      <c r="D8" s="401"/>
      <c r="E8" s="403"/>
      <c r="F8" s="409"/>
      <c r="G8" s="248" t="str">
        <f t="shared" si="0"/>
        <v>U</v>
      </c>
      <c r="H8" s="249">
        <f>H5</f>
        <v>6.4</v>
      </c>
      <c r="I8" s="250" t="str">
        <f t="shared" si="1"/>
        <v>mph</v>
      </c>
      <c r="J8" s="243" t="str">
        <f t="shared" si="1"/>
        <v>see note 1</v>
      </c>
    </row>
    <row r="9" spans="1:10" s="241" customFormat="1" ht="15" customHeight="1">
      <c r="A9" s="413"/>
      <c r="B9" s="405"/>
      <c r="C9" s="405"/>
      <c r="D9" s="401"/>
      <c r="E9" s="403"/>
      <c r="F9" s="409"/>
      <c r="G9" s="248" t="str">
        <f t="shared" si="0"/>
        <v>M</v>
      </c>
      <c r="H9" s="251">
        <f>H6</f>
        <v>5.3</v>
      </c>
      <c r="I9" s="250" t="str">
        <f t="shared" si="1"/>
        <v>%</v>
      </c>
      <c r="J9" s="252" t="str">
        <f t="shared" si="1"/>
        <v>see note 2</v>
      </c>
    </row>
    <row r="10" spans="1:10" s="241" customFormat="1" ht="15" customHeight="1">
      <c r="A10" s="413"/>
      <c r="B10" s="405"/>
      <c r="C10" s="405" t="s">
        <v>514</v>
      </c>
      <c r="D10" s="401">
        <f>H10*0.0032*(((H11/5)^1.3)/((H12/2)^1.4))</f>
        <v>5.973853733678276E-05</v>
      </c>
      <c r="E10" s="403" t="s">
        <v>474</v>
      </c>
      <c r="F10" s="409" t="s">
        <v>475</v>
      </c>
      <c r="G10" s="248" t="str">
        <f t="shared" si="0"/>
        <v>k</v>
      </c>
      <c r="H10" s="254">
        <v>0.053</v>
      </c>
      <c r="I10" s="250" t="str">
        <f t="shared" si="1"/>
        <v>none</v>
      </c>
      <c r="J10" s="243" t="str">
        <f t="shared" si="1"/>
        <v>AP42 13.2.4 Equation 1 (11/06)</v>
      </c>
    </row>
    <row r="11" spans="1:10" s="241" customFormat="1" ht="15" customHeight="1">
      <c r="A11" s="413"/>
      <c r="B11" s="405"/>
      <c r="C11" s="405"/>
      <c r="D11" s="401"/>
      <c r="E11" s="403"/>
      <c r="F11" s="409"/>
      <c r="G11" s="248" t="str">
        <f t="shared" si="0"/>
        <v>U</v>
      </c>
      <c r="H11" s="249">
        <f>H8</f>
        <v>6.4</v>
      </c>
      <c r="I11" s="250" t="str">
        <f t="shared" si="1"/>
        <v>mph</v>
      </c>
      <c r="J11" s="243" t="str">
        <f t="shared" si="1"/>
        <v>see note 1</v>
      </c>
    </row>
    <row r="12" spans="1:10" s="241" customFormat="1" ht="15" customHeight="1">
      <c r="A12" s="413"/>
      <c r="B12" s="405"/>
      <c r="C12" s="405"/>
      <c r="D12" s="401"/>
      <c r="E12" s="403"/>
      <c r="F12" s="409"/>
      <c r="G12" s="248" t="str">
        <f t="shared" si="0"/>
        <v>M</v>
      </c>
      <c r="H12" s="251">
        <f>H9</f>
        <v>5.3</v>
      </c>
      <c r="I12" s="250" t="str">
        <f t="shared" si="1"/>
        <v>%</v>
      </c>
      <c r="J12" s="252" t="str">
        <f t="shared" si="1"/>
        <v>see note 2</v>
      </c>
    </row>
    <row r="13" spans="1:10" s="241" customFormat="1" ht="31.5" customHeight="1">
      <c r="A13" s="413" t="s">
        <v>465</v>
      </c>
      <c r="B13" s="405" t="s">
        <v>522</v>
      </c>
      <c r="C13" s="303" t="s">
        <v>552</v>
      </c>
      <c r="D13" s="242">
        <v>0.02</v>
      </c>
      <c r="E13" s="255" t="s">
        <v>523</v>
      </c>
      <c r="F13" s="413" t="s">
        <v>527</v>
      </c>
      <c r="G13" s="405"/>
      <c r="H13" s="405"/>
      <c r="I13" s="403"/>
      <c r="J13" s="416" t="s">
        <v>524</v>
      </c>
    </row>
    <row r="14" spans="1:10" s="241" customFormat="1" ht="15" customHeight="1">
      <c r="A14" s="413"/>
      <c r="B14" s="405"/>
      <c r="C14" s="242" t="s">
        <v>14</v>
      </c>
      <c r="D14" s="242">
        <v>0.27</v>
      </c>
      <c r="E14" s="255" t="s">
        <v>523</v>
      </c>
      <c r="F14" s="413"/>
      <c r="G14" s="405"/>
      <c r="H14" s="405"/>
      <c r="I14" s="403"/>
      <c r="J14" s="416"/>
    </row>
    <row r="15" spans="1:10" s="241" customFormat="1" ht="15" customHeight="1">
      <c r="A15" s="413"/>
      <c r="B15" s="405"/>
      <c r="C15" s="242" t="s">
        <v>13</v>
      </c>
      <c r="D15" s="242">
        <v>4.61</v>
      </c>
      <c r="E15" s="255" t="s">
        <v>523</v>
      </c>
      <c r="F15" s="413"/>
      <c r="G15" s="405"/>
      <c r="H15" s="405"/>
      <c r="I15" s="403"/>
      <c r="J15" s="416"/>
    </row>
    <row r="16" spans="1:10" s="241" customFormat="1" ht="15" customHeight="1">
      <c r="A16" s="413"/>
      <c r="B16" s="405"/>
      <c r="C16" s="256" t="s">
        <v>12</v>
      </c>
      <c r="D16" s="242">
        <v>0.03</v>
      </c>
      <c r="E16" s="255" t="s">
        <v>523</v>
      </c>
      <c r="F16" s="413"/>
      <c r="G16" s="405"/>
      <c r="H16" s="405"/>
      <c r="I16" s="403"/>
      <c r="J16" s="416"/>
    </row>
    <row r="17" spans="1:10" s="241" customFormat="1" ht="15" customHeight="1">
      <c r="A17" s="413"/>
      <c r="B17" s="405"/>
      <c r="C17" s="405" t="s">
        <v>525</v>
      </c>
      <c r="D17" s="418">
        <f>H17*H18*(H19/100)*H20</f>
        <v>0.0112251</v>
      </c>
      <c r="E17" s="420" t="s">
        <v>526</v>
      </c>
      <c r="F17" s="413" t="s">
        <v>536</v>
      </c>
      <c r="G17" s="257" t="s">
        <v>529</v>
      </c>
      <c r="H17" s="258">
        <v>52.7</v>
      </c>
      <c r="I17" s="259" t="s">
        <v>530</v>
      </c>
      <c r="J17" s="416" t="s">
        <v>528</v>
      </c>
    </row>
    <row r="18" spans="1:10" s="241" customFormat="1" ht="15" customHeight="1">
      <c r="A18" s="413"/>
      <c r="B18" s="405"/>
      <c r="C18" s="405"/>
      <c r="D18" s="418"/>
      <c r="E18" s="420"/>
      <c r="F18" s="413"/>
      <c r="G18" s="257" t="s">
        <v>531</v>
      </c>
      <c r="H18" s="258">
        <v>7.1</v>
      </c>
      <c r="I18" s="259" t="s">
        <v>532</v>
      </c>
      <c r="J18" s="416"/>
    </row>
    <row r="19" spans="1:10" s="241" customFormat="1" ht="15" customHeight="1">
      <c r="A19" s="413"/>
      <c r="B19" s="405"/>
      <c r="C19" s="405"/>
      <c r="D19" s="418"/>
      <c r="E19" s="420"/>
      <c r="F19" s="413"/>
      <c r="G19" s="260" t="s">
        <v>533</v>
      </c>
      <c r="H19" s="261">
        <v>0.0015</v>
      </c>
      <c r="I19" s="259" t="s">
        <v>517</v>
      </c>
      <c r="J19" s="416"/>
    </row>
    <row r="20" spans="1:10" s="241" customFormat="1" ht="15" customHeight="1" thickBot="1">
      <c r="A20" s="414"/>
      <c r="B20" s="415"/>
      <c r="C20" s="415"/>
      <c r="D20" s="419"/>
      <c r="E20" s="421"/>
      <c r="F20" s="414"/>
      <c r="G20" s="262" t="s">
        <v>535</v>
      </c>
      <c r="H20" s="263">
        <v>2</v>
      </c>
      <c r="I20" s="264" t="s">
        <v>534</v>
      </c>
      <c r="J20" s="417"/>
    </row>
    <row r="21" spans="1:10" s="210" customFormat="1" ht="15" customHeight="1" thickTop="1">
      <c r="A21" s="223"/>
      <c r="B21" s="223"/>
      <c r="C21" s="224"/>
      <c r="D21" s="224"/>
      <c r="E21" s="224"/>
      <c r="F21" s="224"/>
      <c r="G21" s="225"/>
      <c r="H21" s="226"/>
      <c r="I21" s="225"/>
      <c r="J21" s="227"/>
    </row>
    <row r="22" spans="1:10" s="210" customFormat="1" ht="12.75">
      <c r="A22" s="219"/>
      <c r="B22" s="219"/>
      <c r="D22" s="219"/>
      <c r="E22" s="219"/>
      <c r="F22" s="219"/>
      <c r="G22" s="219"/>
      <c r="H22" s="219"/>
      <c r="I22" s="219"/>
      <c r="J22" s="219"/>
    </row>
    <row r="23" ht="15" customHeight="1">
      <c r="A23" s="228" t="s">
        <v>364</v>
      </c>
    </row>
    <row r="24" spans="1:10" ht="15" customHeight="1">
      <c r="A24" s="221">
        <v>1</v>
      </c>
      <c r="B24" s="399" t="s">
        <v>518</v>
      </c>
      <c r="C24" s="399"/>
      <c r="D24" s="399"/>
      <c r="E24" s="399"/>
      <c r="F24" s="399"/>
      <c r="G24" s="399"/>
      <c r="H24" s="399"/>
      <c r="I24" s="399"/>
      <c r="J24" s="399"/>
    </row>
    <row r="25" spans="1:2" ht="12.75">
      <c r="A25" s="219">
        <v>2</v>
      </c>
      <c r="B25" s="219" t="s">
        <v>544</v>
      </c>
    </row>
    <row r="27" ht="12.75">
      <c r="H27" s="229"/>
    </row>
    <row r="29" ht="12.75">
      <c r="F29" s="222"/>
    </row>
  </sheetData>
  <sheetProtection/>
  <mergeCells count="31">
    <mergeCell ref="A13:A20"/>
    <mergeCell ref="B13:B20"/>
    <mergeCell ref="J17:J20"/>
    <mergeCell ref="C17:C20"/>
    <mergeCell ref="D17:D20"/>
    <mergeCell ref="E17:E20"/>
    <mergeCell ref="F17:F20"/>
    <mergeCell ref="J13:J16"/>
    <mergeCell ref="F13:I16"/>
    <mergeCell ref="A2:A3"/>
    <mergeCell ref="B2:B3"/>
    <mergeCell ref="B4:B12"/>
    <mergeCell ref="C2:C3"/>
    <mergeCell ref="A4:A12"/>
    <mergeCell ref="C10:C12"/>
    <mergeCell ref="D2:D3"/>
    <mergeCell ref="E2:E3"/>
    <mergeCell ref="F10:F12"/>
    <mergeCell ref="E10:E12"/>
    <mergeCell ref="F7:F9"/>
    <mergeCell ref="F4:F6"/>
    <mergeCell ref="J2:J3"/>
    <mergeCell ref="F2:I2"/>
    <mergeCell ref="B24:J24"/>
    <mergeCell ref="D4:D6"/>
    <mergeCell ref="D7:D9"/>
    <mergeCell ref="D10:D12"/>
    <mergeCell ref="E4:E6"/>
    <mergeCell ref="E7:E9"/>
    <mergeCell ref="C4:C6"/>
    <mergeCell ref="C7:C9"/>
  </mergeCells>
  <printOptions/>
  <pageMargins left="0.51" right="0.53" top="1" bottom="1" header="0.5" footer="0.5"/>
  <pageSetup fitToHeight="1" fitToWidth="1" horizontalDpi="600" verticalDpi="600" orientation="landscape" scale="92" r:id="rId1"/>
  <headerFooter alignWithMargins="0">
    <oddHeader>&amp;C&amp;"Arial,Bold"&amp;12EMISSION FACTOR DETAILS</oddHeader>
    <oddFooter>&amp;R&amp;A
Print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Emissions Calculations Template</dc:title>
  <dc:subject/>
  <dc:creator>ADEQ</dc:creator>
  <cp:keywords/>
  <dc:description/>
  <cp:lastModifiedBy>ADEQ</cp:lastModifiedBy>
  <cp:lastPrinted>2012-10-15T22:11:23Z</cp:lastPrinted>
  <dcterms:created xsi:type="dcterms:W3CDTF">1997-09-10T02:20:50Z</dcterms:created>
  <dcterms:modified xsi:type="dcterms:W3CDTF">2012-10-31T18:11:53Z</dcterms:modified>
  <cp:category/>
  <cp:version/>
  <cp:contentType/>
  <cp:contentStatus/>
</cp:coreProperties>
</file>