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945" windowWidth="17490" windowHeight="10290" tabRatio="598" firstSheet="14" activeTab="15"/>
  </bookViews>
  <sheets>
    <sheet name="Table of Contents" sheetId="1" r:id="rId1"/>
    <sheet name="Bowie Sources" sheetId="2" r:id="rId2"/>
    <sheet name="Emission Factor List" sheetId="3" r:id="rId3"/>
    <sheet name="Annual Project Total Emissions" sheetId="4" r:id="rId4"/>
    <sheet name="Ann Crit Emiss Summar-uncontrol" sheetId="5" r:id="rId5"/>
    <sheet name="One Hour Emission Crit Summary" sheetId="6" r:id="rId6"/>
    <sheet name=" Annual HAP Summary" sheetId="7" r:id="rId7"/>
    <sheet name="Turbine and Duct Burner Hourly" sheetId="8" r:id="rId8"/>
    <sheet name="Turbine and Duct Burner Annual" sheetId="9" r:id="rId9"/>
    <sheet name="Turbine Startup Emissions" sheetId="10" r:id="rId10"/>
    <sheet name="Turbine Shutdown Emissions" sheetId="11" r:id="rId11"/>
    <sheet name="Turbine and DB Heat Input" sheetId="12" r:id="rId12"/>
    <sheet name="Turbine HAP Emissions" sheetId="13" r:id="rId13"/>
    <sheet name="Duct Burner HAP Emissions" sheetId="14" r:id="rId14"/>
    <sheet name="Turbine+Duct Burner HAPs" sheetId="15" r:id="rId15"/>
    <sheet name="Aux Boiler Emissions" sheetId="16" r:id="rId16"/>
    <sheet name="Emergency Fire Pump Emissions" sheetId="17" r:id="rId17"/>
    <sheet name="Cooling Tower" sheetId="18" r:id="rId18"/>
    <sheet name="Cooling Tower HAPs" sheetId="19" r:id="rId19"/>
    <sheet name="Evaporation Pond Emissions" sheetId="20" r:id="rId20"/>
    <sheet name="GHG Emissions" sheetId="21" r:id="rId21"/>
    <sheet name="Modeling Data Summary" sheetId="22" r:id="rId22"/>
    <sheet name="Modeling - Screening Parameters" sheetId="23" r:id="rId23"/>
    <sheet name="Turbine+Duct Burner stack info" sheetId="24" r:id="rId24"/>
    <sheet name="Turbine Stack Data Weighted Ave" sheetId="25" r:id="rId25"/>
    <sheet name="24-hour Crit Emissions Summary" sheetId="26" r:id="rId26"/>
  </sheets>
  <definedNames>
    <definedName name="_xlnm.Print_Area" localSheetId="25">'24-hour Crit Emissions Summary'!$A$1:$K$87</definedName>
    <definedName name="_xlnm.Print_Area" localSheetId="13">'Duct Burner HAP Emissions'!$A$1:$G$60</definedName>
    <definedName name="_xlnm.Print_Area" localSheetId="16">'Emergency Fire Pump Emissions'!$A$1:$G$122</definedName>
    <definedName name="_xlnm.Print_Area" localSheetId="20">'GHG Emissions'!$A$1:$L$82</definedName>
    <definedName name="_xlnm.Print_Titles" localSheetId="6">' Annual HAP Summary'!$1:$1</definedName>
    <definedName name="_xlnm.Print_Titles" localSheetId="25">'24-hour Crit Emissions Summary'!$1:$1</definedName>
    <definedName name="_xlnm.Print_Titles" localSheetId="15">'Aux Boiler Emissions'!$1:$1</definedName>
    <definedName name="_xlnm.Print_Titles" localSheetId="17">'Cooling Tower'!$1:$1</definedName>
    <definedName name="_xlnm.Print_Titles" localSheetId="18">'Cooling Tower HAPs'!$1:$1</definedName>
    <definedName name="_xlnm.Print_Titles" localSheetId="13">'Duct Burner HAP Emissions'!$1:$1</definedName>
    <definedName name="_xlnm.Print_Titles" localSheetId="16">'Emergency Fire Pump Emissions'!$1:$1</definedName>
    <definedName name="_xlnm.Print_Titles" localSheetId="20">'GHG Emissions'!$1:$1</definedName>
    <definedName name="_xlnm.Print_Titles" localSheetId="21">'Modeling Data Summary'!$1:$4</definedName>
    <definedName name="_xlnm.Print_Titles" localSheetId="8">'Turbine and Duct Burner Annual'!$1:$1</definedName>
    <definedName name="_xlnm.Print_Titles" localSheetId="7">'Turbine and Duct Burner Hourly'!$1:$1</definedName>
    <definedName name="_xlnm.Print_Titles" localSheetId="12">'Turbine HAP Emissions'!$1:$1</definedName>
    <definedName name="_xlnm.Print_Titles" localSheetId="9">'Turbine Startup Emissions'!$1:$1</definedName>
    <definedName name="_xlnm.Print_Titles" localSheetId="23">'Turbine+Duct Burner stack info'!$1:$1</definedName>
  </definedNames>
  <calcPr fullCalcOnLoad="1"/>
</workbook>
</file>

<file path=xl/sharedStrings.xml><?xml version="1.0" encoding="utf-8"?>
<sst xmlns="http://schemas.openxmlformats.org/spreadsheetml/2006/main" count="1647" uniqueCount="713">
  <si>
    <t>Annual Duct Burner Heat Input (mmBtu/year)</t>
  </si>
  <si>
    <t>Annual Duct Burner Heat Input Both Duct Burners (mmBtu/year)</t>
  </si>
  <si>
    <t>Emissions given for several different situations, temps, loads, uncontrolled/controlled</t>
  </si>
  <si>
    <t>Turbine and DB Heat Input</t>
  </si>
  <si>
    <t>Cadmium</t>
  </si>
  <si>
    <t>Chromium</t>
  </si>
  <si>
    <t>Cobalt</t>
  </si>
  <si>
    <t>Manganese</t>
  </si>
  <si>
    <t>Nickel</t>
  </si>
  <si>
    <t>AP-42, Table 1.4-4, 7/98</t>
  </si>
  <si>
    <t>Total POM</t>
  </si>
  <si>
    <t xml:space="preserve">Each Cooling Tower </t>
  </si>
  <si>
    <t>Chloroform</t>
  </si>
  <si>
    <t>Xylenes</t>
  </si>
  <si>
    <t>Each Auxiliary Boiler</t>
  </si>
  <si>
    <t>Equipment</t>
  </si>
  <si>
    <t>Fire Pumps</t>
  </si>
  <si>
    <t>Total</t>
  </si>
  <si>
    <t>Auxiliary Boilers</t>
  </si>
  <si>
    <t>Emission Source</t>
  </si>
  <si>
    <t>Total Project Emissions (tons/year)</t>
  </si>
  <si>
    <t>Auxiliary Boiler Total</t>
  </si>
  <si>
    <t>Fire Pump Total</t>
  </si>
  <si>
    <t>Cooling Tower Total</t>
  </si>
  <si>
    <t>Project Total</t>
  </si>
  <si>
    <t>Number of Turbines Undergoing Cold Start during 24 hour period =</t>
  </si>
  <si>
    <t>Hours in Cold Startup For Each Turbine in startup mode during 24 hour period =</t>
  </si>
  <si>
    <t xml:space="preserve">lb </t>
  </si>
  <si>
    <t>Lead</t>
  </si>
  <si>
    <t>Normal Operation</t>
  </si>
  <si>
    <t>Startup Operation</t>
  </si>
  <si>
    <t>Emissions (pounds/hour)</t>
  </si>
  <si>
    <t>Number of Auxiliary Boilers</t>
  </si>
  <si>
    <t>Number of Emergency Fire Pumps</t>
  </si>
  <si>
    <t>Capacity Factor</t>
  </si>
  <si>
    <t>Maximum One-Hour Emissions</t>
  </si>
  <si>
    <t>Each Emergency Fire Pump</t>
  </si>
  <si>
    <t>per turbine</t>
  </si>
  <si>
    <t>MMBtu/hour</t>
  </si>
  <si>
    <t>Emission Factor lb/million scf</t>
  </si>
  <si>
    <t>lb/million scf</t>
  </si>
  <si>
    <t>Type of Equipment</t>
  </si>
  <si>
    <t>Number</t>
  </si>
  <si>
    <t>Size</t>
  </si>
  <si>
    <t>Units</t>
  </si>
  <si>
    <t>Turbine Maximum Heat Input Rate</t>
  </si>
  <si>
    <t>gigaJoules per hour (HHV)</t>
  </si>
  <si>
    <t>BOWIE POWER STATION
TURBINE AND DUCT BURNER HEAT INPUTS</t>
  </si>
  <si>
    <t>mmBtu per hour (HHV)</t>
  </si>
  <si>
    <t>Annual Turbine Heat Input (mmBtu/year)</t>
  </si>
  <si>
    <t>Annual Turbine Heat Input Both Turbines (mmBtu/year)</t>
  </si>
  <si>
    <t>Maximum Turbine Annual Heat Input</t>
  </si>
  <si>
    <t>Duct Burner Hours of Operation at Full Load (hours/year)</t>
  </si>
  <si>
    <t>Duct Burner Heat Input Rate (mmBtu/hour) (HHV)</t>
  </si>
  <si>
    <t xml:space="preserve">Startup </t>
  </si>
  <si>
    <t>Startup</t>
  </si>
  <si>
    <t>Turbine Load</t>
  </si>
  <si>
    <t>Per Turbine and Duct Burner (startup for designated number of hours, normal operation for remaining hours)</t>
  </si>
  <si>
    <t>hours/year</t>
  </si>
  <si>
    <t>NOx Emissions (Controlled)</t>
  </si>
  <si>
    <t>Startup Emissions</t>
  </si>
  <si>
    <t>tons/year</t>
  </si>
  <si>
    <t>Maximum Normal Operation =</t>
  </si>
  <si>
    <r>
      <t>SO</t>
    </r>
    <r>
      <rPr>
        <b/>
        <vertAlign val="subscript"/>
        <sz val="10"/>
        <rFont val="Arial"/>
        <family val="2"/>
      </rPr>
      <t>2</t>
    </r>
    <r>
      <rPr>
        <b/>
        <sz val="10"/>
        <rFont val="Arial"/>
        <family val="2"/>
      </rPr>
      <t xml:space="preserve"> Emissions</t>
    </r>
  </si>
  <si>
    <t>NOx Emissions (uncontrolled)</t>
  </si>
  <si>
    <t>Stack Temperature</t>
  </si>
  <si>
    <r>
      <t>o</t>
    </r>
    <r>
      <rPr>
        <b/>
        <sz val="10"/>
        <rFont val="Arial"/>
        <family val="2"/>
      </rPr>
      <t>F</t>
    </r>
  </si>
  <si>
    <t>Exit Velocity</t>
  </si>
  <si>
    <t>Stack Height</t>
  </si>
  <si>
    <t>Stack Diameter</t>
  </si>
  <si>
    <t>feet</t>
  </si>
  <si>
    <t>meters</t>
  </si>
  <si>
    <t>K</t>
  </si>
  <si>
    <t>meters/sec</t>
  </si>
  <si>
    <t>Turbine Capacity Factor =</t>
  </si>
  <si>
    <t>Number of Turbines and Duct Burners</t>
  </si>
  <si>
    <t xml:space="preserve">Duct Burner Heat Input (HHV) = </t>
  </si>
  <si>
    <t>CO Emissions (uncontrolled)</t>
  </si>
  <si>
    <t>CO Emissions (controlled)</t>
  </si>
  <si>
    <t>VOC Emissions (uncontrolled)</t>
  </si>
  <si>
    <t>VOC Emissions (controlled)</t>
  </si>
  <si>
    <t>CO (controlled)</t>
  </si>
  <si>
    <t>CO (uncontrolled)</t>
  </si>
  <si>
    <t>VOC (uncontrolled)</t>
  </si>
  <si>
    <t>VOC (controlled)</t>
  </si>
  <si>
    <t>Oxidation Catalyst Control Efficiency =</t>
  </si>
  <si>
    <t xml:space="preserve"> Controlled Annual Emissions for One Turbine (tons per year)</t>
  </si>
  <si>
    <t xml:space="preserve">Duct Burners = </t>
  </si>
  <si>
    <t>Peak Drift (gallons/minute)</t>
  </si>
  <si>
    <t>TURBINE</t>
  </si>
  <si>
    <t>DUCT BURNERS</t>
  </si>
  <si>
    <t>gal/hr</t>
  </si>
  <si>
    <t>HAP</t>
  </si>
  <si>
    <t>Ethylbenzene</t>
  </si>
  <si>
    <t>Formaldehyde</t>
  </si>
  <si>
    <t>Mercury</t>
  </si>
  <si>
    <t>Naphthalene</t>
  </si>
  <si>
    <t>Toluene</t>
  </si>
  <si>
    <t>Xylene</t>
  </si>
  <si>
    <t>Hours of Operation Each Auxiliary Boiler in 24 hour period =</t>
  </si>
  <si>
    <t>Total Number of Turbines =</t>
  </si>
  <si>
    <t xml:space="preserve"> </t>
  </si>
  <si>
    <t>mmBtu/hour</t>
  </si>
  <si>
    <t>Hazardous Air Pollutant</t>
  </si>
  <si>
    <t>Acrolein</t>
  </si>
  <si>
    <t>PAHs</t>
  </si>
  <si>
    <t>Xylenes (mixed)</t>
  </si>
  <si>
    <t>TOTAL</t>
  </si>
  <si>
    <t>mmBtu/year</t>
  </si>
  <si>
    <t>AP-42, Table 1.4-3, 7/98</t>
  </si>
  <si>
    <t>Hexane</t>
  </si>
  <si>
    <t>POM</t>
  </si>
  <si>
    <t>2-Methylnaphthalene</t>
  </si>
  <si>
    <t>Fluoranthene</t>
  </si>
  <si>
    <t>Fluorene</t>
  </si>
  <si>
    <t>Phenanathrene</t>
  </si>
  <si>
    <t>Pyrene</t>
  </si>
  <si>
    <t>Arsenic</t>
  </si>
  <si>
    <t>cubic ft/minute</t>
  </si>
  <si>
    <t>Stack Exit Flowrate</t>
  </si>
  <si>
    <t>Stack Parameters</t>
  </si>
  <si>
    <t>meters/second</t>
  </si>
  <si>
    <t>Stack Exit Velocity</t>
  </si>
  <si>
    <t>PAHs (total)</t>
  </si>
  <si>
    <t>gallons/min circulating rate</t>
  </si>
  <si>
    <t xml:space="preserve">Cadmium </t>
  </si>
  <si>
    <t>TOTAL FEDERAL HAPs</t>
  </si>
  <si>
    <t>MMBtu/year</t>
  </si>
  <si>
    <r>
      <t xml:space="preserve">102 </t>
    </r>
    <r>
      <rPr>
        <vertAlign val="superscript"/>
        <sz val="10"/>
        <rFont val="Arial"/>
        <family val="2"/>
      </rPr>
      <t>o</t>
    </r>
    <r>
      <rPr>
        <sz val="10"/>
        <rFont val="Arial"/>
        <family val="2"/>
      </rPr>
      <t>F</t>
    </r>
  </si>
  <si>
    <r>
      <t xml:space="preserve">59 </t>
    </r>
    <r>
      <rPr>
        <vertAlign val="superscript"/>
        <sz val="10"/>
        <rFont val="Arial"/>
        <family val="2"/>
      </rPr>
      <t>o</t>
    </r>
    <r>
      <rPr>
        <sz val="10"/>
        <rFont val="Arial"/>
        <family val="2"/>
      </rPr>
      <t>F</t>
    </r>
  </si>
  <si>
    <t xml:space="preserve">Base Elevation  </t>
  </si>
  <si>
    <t xml:space="preserve">gallons/min  </t>
  </si>
  <si>
    <t>Evaporation Pond Total</t>
  </si>
  <si>
    <r>
      <t>SO</t>
    </r>
    <r>
      <rPr>
        <vertAlign val="subscript"/>
        <sz val="10"/>
        <rFont val="Arial"/>
        <family val="2"/>
      </rPr>
      <t>2</t>
    </r>
  </si>
  <si>
    <t>Diesel Sulfur Content</t>
  </si>
  <si>
    <t>Cooling Tower Capacity Factor</t>
  </si>
  <si>
    <t xml:space="preserve">CHLOROFORM </t>
  </si>
  <si>
    <t>Cooling water flow (gallons per minute)</t>
  </si>
  <si>
    <t>Chloroform emissions from tower (lb/hour)</t>
  </si>
  <si>
    <t>Dichlorobenzene</t>
  </si>
  <si>
    <t xml:space="preserve">Turbine  Heat Input (HHV) = </t>
  </si>
  <si>
    <t xml:space="preserve">Annual Heat Input (HHV)= </t>
  </si>
  <si>
    <t>Startup Emissions (partial control)</t>
  </si>
  <si>
    <t>Uncontrolled Hourly Emissions for One Turbine (lb/hr)</t>
  </si>
  <si>
    <t>Startup/Shutdown</t>
  </si>
  <si>
    <t>Normal Operation:</t>
  </si>
  <si>
    <t>Evaporation Ponds</t>
  </si>
  <si>
    <t>Flow to Cooling Ponds from all Cooling Towers combined (gallons per minute)</t>
  </si>
  <si>
    <t>Number of Turbines Undergoing Warm Start during 24 hour period =</t>
  </si>
  <si>
    <t>Hours in Warm Startup For Each Turbine in startup mode during 24 hour period =</t>
  </si>
  <si>
    <t>Total Emissions from Warm Starts</t>
  </si>
  <si>
    <t>BLOWDOWN EMISSIONS</t>
  </si>
  <si>
    <t xml:space="preserve">Chloroform Emissions   </t>
  </si>
  <si>
    <t>feet/second</t>
  </si>
  <si>
    <t>controlled</t>
  </si>
  <si>
    <r>
      <t>TDS in blowdown (mg/l) [ppm</t>
    </r>
    <r>
      <rPr>
        <vertAlign val="subscript"/>
        <sz val="10"/>
        <rFont val="Arial"/>
        <family val="2"/>
      </rPr>
      <t>w</t>
    </r>
    <r>
      <rPr>
        <sz val="10"/>
        <rFont val="Arial"/>
        <family val="2"/>
      </rPr>
      <t xml:space="preserve"> approximately = mg/l]</t>
    </r>
  </si>
  <si>
    <r>
      <t>TDS in Blowdown (ppm</t>
    </r>
    <r>
      <rPr>
        <vertAlign val="subscript"/>
        <sz val="10"/>
        <rFont val="Arial"/>
        <family val="2"/>
      </rPr>
      <t>w</t>
    </r>
    <r>
      <rPr>
        <sz val="10"/>
        <rFont val="Arial"/>
        <family val="2"/>
      </rPr>
      <t>)</t>
    </r>
  </si>
  <si>
    <t>Configuration</t>
  </si>
  <si>
    <t>Turbine + Duct Firing</t>
  </si>
  <si>
    <t xml:space="preserve">Turbine </t>
  </si>
  <si>
    <t>Turbine</t>
  </si>
  <si>
    <t>Turbine Startup</t>
  </si>
  <si>
    <r>
      <t>NO</t>
    </r>
    <r>
      <rPr>
        <b/>
        <vertAlign val="subscript"/>
        <sz val="10"/>
        <rFont val="Arial"/>
        <family val="2"/>
      </rPr>
      <t xml:space="preserve">x </t>
    </r>
    <r>
      <rPr>
        <b/>
        <sz val="10"/>
        <rFont val="Arial"/>
        <family val="2"/>
      </rPr>
      <t>(controlled)</t>
    </r>
  </si>
  <si>
    <t>Emergency Fire Pumps</t>
  </si>
  <si>
    <t xml:space="preserve">Hours of Operation of Cooling Towers in 24 hour period = </t>
  </si>
  <si>
    <t>Total Turbine and Duct Burner Emissions during 24-hour period</t>
  </si>
  <si>
    <t>Per Turbine and Duct Burner (average 24-hour emission rate, startup for designated number of hours, normal operation for remaining hours)</t>
  </si>
  <si>
    <t>Average Emission Rate Each Turbine and Duct Burner Pair (lb/hour)</t>
  </si>
  <si>
    <t>Tons Per Day Per Piece of Equipment</t>
  </si>
  <si>
    <t>Tons Per Day For All Pieces of Equipment</t>
  </si>
  <si>
    <r>
      <t>NO</t>
    </r>
    <r>
      <rPr>
        <vertAlign val="subscript"/>
        <sz val="10"/>
        <rFont val="Arial"/>
        <family val="2"/>
      </rPr>
      <t>x</t>
    </r>
  </si>
  <si>
    <t>Annual</t>
  </si>
  <si>
    <t>1-hour</t>
  </si>
  <si>
    <t>24-hour</t>
  </si>
  <si>
    <t>lb/gallon</t>
  </si>
  <si>
    <t>Antimony</t>
  </si>
  <si>
    <t>Beryllium</t>
  </si>
  <si>
    <t>Selenium</t>
  </si>
  <si>
    <t>Duct Burner Hours of Operation for capacity factor assuming 100% load =</t>
  </si>
  <si>
    <r>
      <t>ppm</t>
    </r>
    <r>
      <rPr>
        <vertAlign val="subscript"/>
        <sz val="10"/>
        <rFont val="Arial"/>
        <family val="2"/>
      </rPr>
      <t>w</t>
    </r>
  </si>
  <si>
    <t>mg/l</t>
  </si>
  <si>
    <t>lbs/gallon</t>
  </si>
  <si>
    <t>mmBtu/hour (HHV)</t>
  </si>
  <si>
    <t xml:space="preserve">Natural Gas-Fired Auxiliary Boilers </t>
  </si>
  <si>
    <t xml:space="preserve">Diesel-Fired Fire Pumps </t>
  </si>
  <si>
    <t>horsepower</t>
  </si>
  <si>
    <t>Cooling Tower</t>
  </si>
  <si>
    <t>Per Turbine and Duct Burner Pair</t>
  </si>
  <si>
    <t>Turbine and Duct Burner Total</t>
  </si>
  <si>
    <t>Turbines and Duct Burners</t>
  </si>
  <si>
    <t>NOx</t>
  </si>
  <si>
    <t>CO</t>
  </si>
  <si>
    <t>Emission Basis</t>
  </si>
  <si>
    <r>
      <t>SO</t>
    </r>
    <r>
      <rPr>
        <b/>
        <vertAlign val="subscript"/>
        <sz val="10"/>
        <rFont val="Arial"/>
        <family val="2"/>
      </rPr>
      <t>2</t>
    </r>
  </si>
  <si>
    <t>Per Fire Pump</t>
  </si>
  <si>
    <t>Per Aux. Boiler</t>
  </si>
  <si>
    <t>Per Cooling Tower</t>
  </si>
  <si>
    <t>Load</t>
  </si>
  <si>
    <t>%</t>
  </si>
  <si>
    <t>Annual Fuel Usage</t>
  </si>
  <si>
    <t>Operating Hours</t>
  </si>
  <si>
    <t>hrs/yr</t>
  </si>
  <si>
    <t>Engine Rating</t>
  </si>
  <si>
    <t>hp</t>
  </si>
  <si>
    <t>Pollutant</t>
  </si>
  <si>
    <t>Emission Factor (lb/mmBtu)</t>
  </si>
  <si>
    <t>Emission Factor Reference</t>
  </si>
  <si>
    <t>Annual Emissions (tpy)</t>
  </si>
  <si>
    <t>Acetaldehyde</t>
  </si>
  <si>
    <t>Benzene</t>
  </si>
  <si>
    <t>COOLING TOWERS</t>
  </si>
  <si>
    <r>
      <t xml:space="preserve">Chloroform - from EPA's, </t>
    </r>
    <r>
      <rPr>
        <i/>
        <sz val="10"/>
        <rFont val="Arial"/>
        <family val="2"/>
      </rPr>
      <t>Locating and Estimating Air Emissions from Sources of Chloroform</t>
    </r>
  </si>
  <si>
    <t>HAPs (except chloroform) - based on cooling tower drift and content of blowdown</t>
  </si>
  <si>
    <t>EVAPORATION PONDS</t>
  </si>
  <si>
    <t>AUXILIARY BOILER</t>
  </si>
  <si>
    <t>inches</t>
  </si>
  <si>
    <t>Btu/scf</t>
  </si>
  <si>
    <t>Heat Input Rating</t>
  </si>
  <si>
    <t>MMBtu/hr</t>
  </si>
  <si>
    <t>mmscf/yr</t>
  </si>
  <si>
    <t>Emission Factor (lb/mmscf)</t>
  </si>
  <si>
    <t>AP-42, Table 1.4-2, 7/98</t>
  </si>
  <si>
    <t>---</t>
  </si>
  <si>
    <t>Cooling Tower Data</t>
  </si>
  <si>
    <t>towers</t>
  </si>
  <si>
    <t>cells/tower</t>
  </si>
  <si>
    <t>ppm by weight TDS in blowdown</t>
  </si>
  <si>
    <t>Drift</t>
  </si>
  <si>
    <t>PARTICULATE MATTER</t>
  </si>
  <si>
    <t>Flow of dissolved solids (lbs/gallon)</t>
  </si>
  <si>
    <t>Flowrate of tower (gallons per minute)</t>
  </si>
  <si>
    <t>Drift %</t>
  </si>
  <si>
    <t>Cooling Towers</t>
  </si>
  <si>
    <t>Emissions (tons/year)</t>
  </si>
  <si>
    <r>
      <t>PM</t>
    </r>
    <r>
      <rPr>
        <b/>
        <vertAlign val="subscript"/>
        <sz val="10"/>
        <rFont val="Arial"/>
        <family val="2"/>
      </rPr>
      <t>10</t>
    </r>
  </si>
  <si>
    <t>Duct Burners</t>
  </si>
  <si>
    <t xml:space="preserve">Annual Criteria Pollutant Emissions </t>
  </si>
  <si>
    <t>Emissions (lb/hour)</t>
  </si>
  <si>
    <t xml:space="preserve">Per Auxiliary Boiler </t>
  </si>
  <si>
    <t xml:space="preserve">Per Emergency Fire Pump </t>
  </si>
  <si>
    <t>Duct Burner Maximum Fuel Use</t>
  </si>
  <si>
    <r>
      <t>10</t>
    </r>
    <r>
      <rPr>
        <vertAlign val="superscript"/>
        <sz val="10"/>
        <rFont val="Arial"/>
        <family val="2"/>
      </rPr>
      <t>o</t>
    </r>
    <r>
      <rPr>
        <sz val="10"/>
        <rFont val="Arial"/>
        <family val="2"/>
      </rPr>
      <t>F</t>
    </r>
  </si>
  <si>
    <t>Fuel Data</t>
  </si>
  <si>
    <t>Natural Gas</t>
  </si>
  <si>
    <t>Heat Content</t>
  </si>
  <si>
    <t>Sulfur Content</t>
  </si>
  <si>
    <t>Diesel Fuel</t>
  </si>
  <si>
    <t>Fuel</t>
  </si>
  <si>
    <t>From Rentech Data sheet</t>
  </si>
  <si>
    <r>
      <t>o</t>
    </r>
    <r>
      <rPr>
        <sz val="10"/>
        <rFont val="Arial"/>
        <family val="2"/>
      </rPr>
      <t>F</t>
    </r>
  </si>
  <si>
    <t>Reference</t>
  </si>
  <si>
    <t>Operating Data</t>
  </si>
  <si>
    <t>Cooling Tower Emissions</t>
  </si>
  <si>
    <t>Emissions</t>
  </si>
  <si>
    <t>Duration (hours)</t>
  </si>
  <si>
    <t>Number Per Turbine</t>
  </si>
  <si>
    <t>EMERGENCY FIRE PUMP</t>
  </si>
  <si>
    <r>
      <t xml:space="preserve">102 </t>
    </r>
    <r>
      <rPr>
        <b/>
        <vertAlign val="superscript"/>
        <sz val="10"/>
        <rFont val="Arial"/>
        <family val="2"/>
      </rPr>
      <t>o</t>
    </r>
    <r>
      <rPr>
        <b/>
        <sz val="10"/>
        <color indexed="8"/>
        <rFont val="Arial"/>
        <family val="2"/>
      </rPr>
      <t>F</t>
    </r>
  </si>
  <si>
    <r>
      <t xml:space="preserve">59 </t>
    </r>
    <r>
      <rPr>
        <b/>
        <vertAlign val="superscript"/>
        <sz val="10"/>
        <rFont val="Arial"/>
        <family val="2"/>
      </rPr>
      <t>o</t>
    </r>
    <r>
      <rPr>
        <b/>
        <sz val="10"/>
        <color indexed="8"/>
        <rFont val="Arial"/>
        <family val="2"/>
      </rPr>
      <t>F</t>
    </r>
  </si>
  <si>
    <r>
      <t>10</t>
    </r>
    <r>
      <rPr>
        <b/>
        <vertAlign val="superscript"/>
        <sz val="10"/>
        <rFont val="Arial"/>
        <family val="2"/>
      </rPr>
      <t>o</t>
    </r>
    <r>
      <rPr>
        <b/>
        <sz val="10"/>
        <color indexed="8"/>
        <rFont val="Arial"/>
        <family val="2"/>
      </rPr>
      <t>F</t>
    </r>
  </si>
  <si>
    <t>Capacity Factor/hours of operation for Each Piece of Equipment</t>
  </si>
  <si>
    <r>
      <t>NO</t>
    </r>
    <r>
      <rPr>
        <vertAlign val="subscript"/>
        <sz val="10"/>
        <rFont val="Arial"/>
        <family val="2"/>
      </rPr>
      <t>x</t>
    </r>
    <r>
      <rPr>
        <vertAlign val="subscript"/>
        <sz val="8"/>
        <rFont val="Arial"/>
        <family val="2"/>
      </rPr>
      <t xml:space="preserve"> </t>
    </r>
  </si>
  <si>
    <t xml:space="preserve">CO </t>
  </si>
  <si>
    <t>Emissions (tons/day)</t>
  </si>
  <si>
    <t>All Turbine and Duct Burners (startup for designated number of hours, normal operation for remaining hours)</t>
  </si>
  <si>
    <t>Shutdown</t>
  </si>
  <si>
    <t>Hours in Shutdown</t>
  </si>
  <si>
    <t>Shutdowns per year</t>
  </si>
  <si>
    <t>two turbines</t>
  </si>
  <si>
    <t>combined for two duct burners</t>
  </si>
  <si>
    <t>Hours limit from 40 CFR 60.4211(e)</t>
  </si>
  <si>
    <t>Criteria Pollutant Emission Estimation</t>
  </si>
  <si>
    <t>mmBtu/hour maximum heat input</t>
  </si>
  <si>
    <t>each duct burner</t>
  </si>
  <si>
    <t>gallons/minute</t>
  </si>
  <si>
    <t>Btu/gallon</t>
  </si>
  <si>
    <t>Hourly Emissions (lb/hour)</t>
  </si>
  <si>
    <t>PM</t>
  </si>
  <si>
    <t>hours</t>
  </si>
  <si>
    <t>lb/hour</t>
  </si>
  <si>
    <t>VOC</t>
  </si>
  <si>
    <t>Ambient Temperature</t>
  </si>
  <si>
    <r>
      <t>NO</t>
    </r>
    <r>
      <rPr>
        <b/>
        <vertAlign val="subscript"/>
        <sz val="10"/>
        <rFont val="Arial"/>
        <family val="2"/>
      </rPr>
      <t>x</t>
    </r>
  </si>
  <si>
    <t>Natural Gas Heat Content</t>
  </si>
  <si>
    <t>Fuel Consumption Rate</t>
  </si>
  <si>
    <t>ppb</t>
  </si>
  <si>
    <t>Turbine Startup Average (No Control)</t>
  </si>
  <si>
    <t>Number of Turbines Undergoing Hot Start during 24 hour period =</t>
  </si>
  <si>
    <t>Hours in Hot Startup For Each Turbine in startup mode during 24 hour period =</t>
  </si>
  <si>
    <t>Total Emissions from Hot Starts</t>
  </si>
  <si>
    <t>lb</t>
  </si>
  <si>
    <t>Emission Unit</t>
  </si>
  <si>
    <t>Emission Rate (lb/hour)</t>
  </si>
  <si>
    <r>
      <t>PM/PM</t>
    </r>
    <r>
      <rPr>
        <b/>
        <vertAlign val="subscript"/>
        <sz val="10"/>
        <rFont val="Arial"/>
        <family val="2"/>
      </rPr>
      <t>10</t>
    </r>
    <r>
      <rPr>
        <b/>
        <sz val="10"/>
        <rFont val="Arial"/>
        <family val="2"/>
      </rPr>
      <t>/PM</t>
    </r>
    <r>
      <rPr>
        <b/>
        <vertAlign val="subscript"/>
        <sz val="10"/>
        <rFont val="Arial"/>
        <family val="2"/>
      </rPr>
      <t>2.5</t>
    </r>
  </si>
  <si>
    <r>
      <t>PM</t>
    </r>
    <r>
      <rPr>
        <b/>
        <vertAlign val="subscript"/>
        <sz val="10"/>
        <rFont val="Arial"/>
        <family val="2"/>
      </rPr>
      <t>10</t>
    </r>
    <r>
      <rPr>
        <b/>
        <sz val="10"/>
        <rFont val="Arial"/>
        <family val="2"/>
      </rPr>
      <t>/PM</t>
    </r>
    <r>
      <rPr>
        <b/>
        <vertAlign val="subscript"/>
        <sz val="10"/>
        <rFont val="Arial"/>
        <family val="2"/>
      </rPr>
      <t>2.5</t>
    </r>
  </si>
  <si>
    <t>Rentech Data Sheet</t>
  </si>
  <si>
    <t>mmscf/hr</t>
  </si>
  <si>
    <t>Emergency Fire Pump</t>
  </si>
  <si>
    <t>Averaging Periods</t>
  </si>
  <si>
    <t>Modeling Scenario(s)</t>
  </si>
  <si>
    <t>Annual average</t>
  </si>
  <si>
    <r>
      <t>PM</t>
    </r>
    <r>
      <rPr>
        <vertAlign val="subscript"/>
        <sz val="10"/>
        <rFont val="Arial"/>
        <family val="2"/>
      </rPr>
      <t>10</t>
    </r>
    <r>
      <rPr>
        <sz val="10"/>
        <rFont val="Arial"/>
        <family val="2"/>
      </rPr>
      <t>/PM</t>
    </r>
    <r>
      <rPr>
        <vertAlign val="subscript"/>
        <sz val="10"/>
        <rFont val="Arial"/>
        <family val="2"/>
      </rPr>
      <t>2.5</t>
    </r>
  </si>
  <si>
    <t>Visibility Impacts</t>
  </si>
  <si>
    <t xml:space="preserve">Normal Operation  </t>
  </si>
  <si>
    <t>Stack Parameter Scenario</t>
  </si>
  <si>
    <t>Operating Scenario for Emissions</t>
  </si>
  <si>
    <t>Conservatively assume Normal Operation for all 8 hours</t>
  </si>
  <si>
    <t>Tons/Day</t>
  </si>
  <si>
    <t>BOWIE POWER STATION
TURBINE STACK PARAMETERS</t>
  </si>
  <si>
    <t>BOWIE POWER STATION
TURBINE HAP EMISSIONS</t>
  </si>
  <si>
    <t>BOWIE POWER STATION
DUCT BURNER HAP EMISSIONS</t>
  </si>
  <si>
    <r>
      <t>PM</t>
    </r>
    <r>
      <rPr>
        <vertAlign val="subscript"/>
        <sz val="10"/>
        <rFont val="Arial"/>
        <family val="2"/>
      </rPr>
      <t>10</t>
    </r>
  </si>
  <si>
    <t>BOWIE POWER STATION
EMERGENCY FIRE PUMP DATA AND EMISSIONS</t>
  </si>
  <si>
    <t xml:space="preserve"> HAP Emission Estimation </t>
  </si>
  <si>
    <r>
      <t>ft</t>
    </r>
    <r>
      <rPr>
        <vertAlign val="superscript"/>
        <sz val="10"/>
        <rFont val="Arial"/>
        <family val="2"/>
      </rPr>
      <t>3</t>
    </r>
    <r>
      <rPr>
        <sz val="10"/>
        <rFont val="Arial"/>
        <family val="2"/>
      </rPr>
      <t>/minute</t>
    </r>
  </si>
  <si>
    <r>
      <t>meters</t>
    </r>
    <r>
      <rPr>
        <vertAlign val="superscript"/>
        <sz val="10"/>
        <rFont val="Arial"/>
        <family val="2"/>
      </rPr>
      <t>3</t>
    </r>
    <r>
      <rPr>
        <sz val="10"/>
        <rFont val="Arial"/>
        <family val="2"/>
      </rPr>
      <t>/second</t>
    </r>
  </si>
  <si>
    <r>
      <t>BOWIE POWER STATION
COOLING TOWER PM/PM</t>
    </r>
    <r>
      <rPr>
        <b/>
        <vertAlign val="subscript"/>
        <sz val="12"/>
        <rFont val="Arial"/>
        <family val="2"/>
      </rPr>
      <t>10</t>
    </r>
    <r>
      <rPr>
        <b/>
        <sz val="12"/>
        <rFont val="Arial"/>
        <family val="2"/>
      </rPr>
      <t>/PM</t>
    </r>
    <r>
      <rPr>
        <b/>
        <vertAlign val="subscript"/>
        <sz val="12"/>
        <rFont val="Arial"/>
        <family val="2"/>
      </rPr>
      <t>2.5</t>
    </r>
    <r>
      <rPr>
        <b/>
        <sz val="12"/>
        <rFont val="Arial"/>
        <family val="2"/>
      </rPr>
      <t xml:space="preserve"> EMISSIONS</t>
    </r>
  </si>
  <si>
    <r>
      <t>Corrected Emission Factor for Chloroform (kg/10</t>
    </r>
    <r>
      <rPr>
        <vertAlign val="superscript"/>
        <sz val="10"/>
        <rFont val="Arial"/>
        <family val="2"/>
      </rPr>
      <t>9</t>
    </r>
    <r>
      <rPr>
        <sz val="10"/>
        <rFont val="Arial"/>
        <family val="2"/>
      </rPr>
      <t xml:space="preserve"> liters cooling water flow)  From EPA document "Locating and Estimating Air Emissions from Sources of Chloroform, page 58</t>
    </r>
  </si>
  <si>
    <r>
      <t>kg/10</t>
    </r>
    <r>
      <rPr>
        <vertAlign val="superscript"/>
        <sz val="10"/>
        <rFont val="Arial"/>
        <family val="2"/>
      </rPr>
      <t>9</t>
    </r>
    <r>
      <rPr>
        <sz val="10"/>
        <rFont val="Arial"/>
        <family val="2"/>
      </rPr>
      <t xml:space="preserve"> liters</t>
    </r>
  </si>
  <si>
    <t xml:space="preserve">BOWIE POWER STATION
COOLING TOWER HAP EMISSIONS </t>
  </si>
  <si>
    <t>BOWIE POWER STATION
MODELING DATA SUMMARY</t>
  </si>
  <si>
    <t>Hours per Year</t>
  </si>
  <si>
    <t>NAAQS/AAAQS, Vegetation and Soils Impacts</t>
  </si>
  <si>
    <t>NAAQS/AAAQS, Class I &amp; II Increments, Vegetation and Soils Impacts</t>
  </si>
  <si>
    <t>Emission Factor</t>
  </si>
  <si>
    <r>
      <t>CO</t>
    </r>
    <r>
      <rPr>
        <b/>
        <vertAlign val="subscript"/>
        <sz val="10"/>
        <rFont val="Arial"/>
        <family val="2"/>
      </rPr>
      <t>2</t>
    </r>
  </si>
  <si>
    <t>Evaporation Pond</t>
  </si>
  <si>
    <r>
      <t>CH</t>
    </r>
    <r>
      <rPr>
        <b/>
        <vertAlign val="subscript"/>
        <sz val="10"/>
        <rFont val="Arial"/>
        <family val="2"/>
      </rPr>
      <t>4</t>
    </r>
  </si>
  <si>
    <r>
      <t>N</t>
    </r>
    <r>
      <rPr>
        <b/>
        <vertAlign val="subscript"/>
        <sz val="10"/>
        <rFont val="Arial"/>
        <family val="2"/>
      </rPr>
      <t>2</t>
    </r>
    <r>
      <rPr>
        <b/>
        <sz val="10"/>
        <rFont val="Arial"/>
        <family val="2"/>
      </rPr>
      <t>O</t>
    </r>
  </si>
  <si>
    <t>Emissions Each Piece of Equipment (tons/year)</t>
  </si>
  <si>
    <t>BOWIE POWER STATION
COMBINED TURBINE AND DUCT BURNER ANNUAL EMISSIONS</t>
  </si>
  <si>
    <t>BOWIE POWER STATION
AUXILIARY BOILER DATA AND EMISSIONS</t>
  </si>
  <si>
    <t>Stack Height (m)</t>
  </si>
  <si>
    <t>Stack Exit Temperature (K)</t>
  </si>
  <si>
    <t>Exit Velocity (m/sec)</t>
  </si>
  <si>
    <t>Stack Diameter
(m)</t>
  </si>
  <si>
    <r>
      <t>NAAQS/AAAQS,
Class I &amp; II Increments, NO</t>
    </r>
    <r>
      <rPr>
        <vertAlign val="subscript"/>
        <sz val="10"/>
        <rFont val="Arial"/>
        <family val="2"/>
      </rPr>
      <t>x</t>
    </r>
    <r>
      <rPr>
        <sz val="10"/>
        <rFont val="Arial"/>
        <family val="2"/>
      </rPr>
      <t xml:space="preserve"> Deposition, Vegetation and Soils Impacts</t>
    </r>
  </si>
  <si>
    <t>Emission Factor Adjusted for Natural Gas Heat Content (lb/mmBtu)</t>
  </si>
  <si>
    <r>
      <t>AP-42
Table 3.1-3 Emission Factor (lb/mmBtu)</t>
    </r>
    <r>
      <rPr>
        <b/>
        <vertAlign val="superscript"/>
        <sz val="10"/>
        <rFont val="Arial"/>
        <family val="2"/>
      </rPr>
      <t>a</t>
    </r>
  </si>
  <si>
    <r>
      <t>a</t>
    </r>
    <r>
      <rPr>
        <sz val="10"/>
        <rFont val="Arial"/>
        <family val="2"/>
      </rPr>
      <t>Emission factors are from AP-42, Section 3.1, Table 3.1-3, April 2000.  Pollutants for which AP-42 records one half the source testing detection limit have not been included.</t>
    </r>
  </si>
  <si>
    <t>Oxidation Catalyst Control Efficiency During Startup =</t>
  </si>
  <si>
    <t>Hours per Year in Startup =</t>
  </si>
  <si>
    <t xml:space="preserve">Total Hours per Year in Operation = </t>
  </si>
  <si>
    <r>
      <t>PM/PM</t>
    </r>
    <r>
      <rPr>
        <b/>
        <vertAlign val="subscript"/>
        <sz val="10"/>
        <rFont val="Arial"/>
        <family val="2"/>
      </rPr>
      <t>10</t>
    </r>
    <r>
      <rPr>
        <b/>
        <sz val="10"/>
        <rFont val="Arial"/>
        <family val="2"/>
      </rPr>
      <t>/PM</t>
    </r>
    <r>
      <rPr>
        <b/>
        <vertAlign val="subscript"/>
        <sz val="10"/>
        <rFont val="Arial"/>
        <family val="2"/>
      </rPr>
      <t>2.5</t>
    </r>
    <r>
      <rPr>
        <b/>
        <sz val="10"/>
        <rFont val="Arial"/>
        <family val="2"/>
      </rPr>
      <t xml:space="preserve"> Emissions</t>
    </r>
  </si>
  <si>
    <t>Auxiliary Boiler</t>
  </si>
  <si>
    <t>BOWIE POWER STATION
TURBINE STARTUP EMISSIONS</t>
  </si>
  <si>
    <t>BOWIE POWER STATION
TURBINE SHUTDOWN EMISSIONS</t>
  </si>
  <si>
    <t>All values shown below are for one turbine and duct burner pair.</t>
  </si>
  <si>
    <t>Turbine + Duct Burner Controlled Emissions during normal operations (lb/hour)</t>
  </si>
  <si>
    <t>Duct Burner Uncontrolled Emissions
(lb/hour)</t>
  </si>
  <si>
    <t>Oxidation Catalyst Control Efficiency</t>
  </si>
  <si>
    <t>Turbine + Duct Burner Maximum Short-Term Emissions (lb/hour)</t>
  </si>
  <si>
    <t>Turbine Emissions (tons/year)</t>
  </si>
  <si>
    <t>Duct Burner Emissions (tons/year)</t>
  </si>
  <si>
    <t>Turbine + Duct Burner Emissions (tons/year)</t>
  </si>
  <si>
    <r>
      <t>Turbine + Duct Burner Emissions (lb/hour)</t>
    </r>
    <r>
      <rPr>
        <b/>
        <vertAlign val="superscript"/>
        <sz val="10"/>
        <rFont val="Arial"/>
        <family val="2"/>
      </rPr>
      <t>b</t>
    </r>
  </si>
  <si>
    <r>
      <t>a</t>
    </r>
    <r>
      <rPr>
        <sz val="10"/>
        <rFont val="Arial"/>
        <family val="2"/>
      </rPr>
      <t>PAHs are a subset of POMs.</t>
    </r>
  </si>
  <si>
    <r>
      <t>POMs</t>
    </r>
    <r>
      <rPr>
        <vertAlign val="superscript"/>
        <sz val="10"/>
        <rFont val="Arial"/>
        <family val="2"/>
      </rPr>
      <t>a</t>
    </r>
  </si>
  <si>
    <r>
      <t>Emission Factor (lb/MMBtu)</t>
    </r>
    <r>
      <rPr>
        <b/>
        <vertAlign val="superscript"/>
        <sz val="10"/>
        <rFont val="Arial"/>
        <family val="2"/>
      </rPr>
      <t>1</t>
    </r>
  </si>
  <si>
    <r>
      <t>Controlled Annual Emissions for One Duct Burner (tons/year)</t>
    </r>
    <r>
      <rPr>
        <b/>
        <vertAlign val="superscript"/>
        <sz val="10"/>
        <rFont val="Arial"/>
        <family val="2"/>
      </rPr>
      <t>2</t>
    </r>
  </si>
  <si>
    <t>Each Turbine and Duct Burner</t>
  </si>
  <si>
    <t>Summarize Turbine and Duct Burner HAP Emission:</t>
  </si>
  <si>
    <r>
      <rPr>
        <vertAlign val="superscript"/>
        <sz val="10"/>
        <rFont val="Arial"/>
        <family val="2"/>
      </rPr>
      <t>b</t>
    </r>
    <r>
      <rPr>
        <sz val="10"/>
        <rFont val="Arial"/>
        <family val="2"/>
      </rPr>
      <t>Organic HAP Emissions are maximums from table above.  Metal HAPs  (arsenic, cadmium, chromium, cobalt, lead, manganese, mercury, and nickel) are from "Duct Burner HAP Emissions".</t>
    </r>
  </si>
  <si>
    <r>
      <t>CO</t>
    </r>
    <r>
      <rPr>
        <b/>
        <vertAlign val="subscript"/>
        <sz val="10"/>
        <rFont val="Arial"/>
        <family val="2"/>
      </rPr>
      <t>2</t>
    </r>
    <r>
      <rPr>
        <b/>
        <vertAlign val="superscript"/>
        <sz val="10"/>
        <rFont val="Arial"/>
        <family val="2"/>
      </rPr>
      <t>a</t>
    </r>
    <r>
      <rPr>
        <b/>
        <vertAlign val="subscript"/>
        <sz val="10"/>
        <rFont val="Arial"/>
        <family val="2"/>
      </rPr>
      <t xml:space="preserve">
</t>
    </r>
    <r>
      <rPr>
        <b/>
        <sz val="10"/>
        <rFont val="Arial"/>
        <family val="2"/>
      </rPr>
      <t>(kg/mmBtu)</t>
    </r>
  </si>
  <si>
    <t>BOWIE POWER STATION
EVAPORATION POND CHLOROFORM EMISSIONS</t>
  </si>
  <si>
    <t>HAPs - AP-42, Section 1.4, Tables 1.4-2, -3, and -4, July 1998</t>
  </si>
  <si>
    <t>AP-42, 10/96, Table 3.3-2</t>
  </si>
  <si>
    <t>BOWIE POWER STATOIN
TURBINE AND DUCT BURNER HAP EMISSIONS</t>
  </si>
  <si>
    <t>Btu/gal</t>
  </si>
  <si>
    <t xml:space="preserve">Annual cooling tower chloroform emissions (tons/year) </t>
  </si>
  <si>
    <t>Annual chloroform emissions (tons/year) for 8760 hours/year</t>
  </si>
  <si>
    <t>Turbine Emissions (lb)</t>
  </si>
  <si>
    <t>Pounds/Hour Per Hour Per Piece of Equipment</t>
  </si>
  <si>
    <t>Base Elevation</t>
  </si>
  <si>
    <t>Weighted Average</t>
  </si>
  <si>
    <r>
      <t>Ambient Temperature (</t>
    </r>
    <r>
      <rPr>
        <b/>
        <vertAlign val="superscript"/>
        <sz val="10"/>
        <rFont val="Arial"/>
        <family val="2"/>
      </rPr>
      <t>o</t>
    </r>
    <r>
      <rPr>
        <b/>
        <sz val="10"/>
        <rFont val="Arial"/>
        <family val="2"/>
      </rPr>
      <t>F)</t>
    </r>
  </si>
  <si>
    <t>Yes</t>
  </si>
  <si>
    <t>No</t>
  </si>
  <si>
    <t>Uncontrolled Hourly Emissions for One Duct Burner (lb/hour)</t>
  </si>
  <si>
    <t>During Normal Operation, HAPs will be emitted from both the turbine and duct burner and will be controlled by the oxidation catalyst</t>
  </si>
  <si>
    <t>Manufacturer</t>
  </si>
  <si>
    <r>
      <t>Assume PM</t>
    </r>
    <r>
      <rPr>
        <vertAlign val="subscript"/>
        <sz val="10"/>
        <rFont val="Arial"/>
        <family val="2"/>
      </rPr>
      <t>10</t>
    </r>
    <r>
      <rPr>
        <sz val="10"/>
        <rFont val="Arial"/>
        <family val="2"/>
      </rPr>
      <t xml:space="preserve"> = PM</t>
    </r>
  </si>
  <si>
    <t>Emission Factor
(lb/thousand Gallons)</t>
  </si>
  <si>
    <t>Operating Hours per Year Not in Startup =</t>
  </si>
  <si>
    <t>Natural Gas Sulfur Content</t>
  </si>
  <si>
    <t>grains/100 scf</t>
  </si>
  <si>
    <r>
      <t>grains/10</t>
    </r>
    <r>
      <rPr>
        <vertAlign val="superscript"/>
        <sz val="10"/>
        <rFont val="Arial"/>
        <family val="2"/>
      </rPr>
      <t>6</t>
    </r>
    <r>
      <rPr>
        <sz val="10"/>
        <rFont val="Arial"/>
        <family val="2"/>
      </rPr>
      <t xml:space="preserve"> scf</t>
    </r>
  </si>
  <si>
    <t>4 hours of operation</t>
  </si>
  <si>
    <t>BOWIE POWER STATION
TURBINE AND DUCT BURNER WEIGHTED AVERAGE STACK PARAMETERS</t>
  </si>
  <si>
    <r>
      <t>102</t>
    </r>
    <r>
      <rPr>
        <b/>
        <vertAlign val="superscript"/>
        <sz val="10"/>
        <color indexed="8"/>
        <rFont val="Arial"/>
        <family val="2"/>
      </rPr>
      <t>o</t>
    </r>
    <r>
      <rPr>
        <b/>
        <sz val="10"/>
        <color indexed="8"/>
        <rFont val="Arial"/>
        <family val="2"/>
      </rPr>
      <t>F</t>
    </r>
  </si>
  <si>
    <r>
      <t>59</t>
    </r>
    <r>
      <rPr>
        <b/>
        <vertAlign val="superscript"/>
        <sz val="10"/>
        <color indexed="8"/>
        <rFont val="Arial"/>
        <family val="2"/>
      </rPr>
      <t>o</t>
    </r>
    <r>
      <rPr>
        <b/>
        <sz val="10"/>
        <color indexed="8"/>
        <rFont val="Arial"/>
        <family val="2"/>
      </rPr>
      <t>F</t>
    </r>
  </si>
  <si>
    <t>Stack Temperature (K)</t>
  </si>
  <si>
    <t>Exit Velocity (meters/sec)</t>
  </si>
  <si>
    <t>feet/minute</t>
  </si>
  <si>
    <t>Cummins CFP9E-F10 Fire Power engine</t>
  </si>
  <si>
    <t>thousand gal/year</t>
  </si>
  <si>
    <t>Emission Factor
(lb/hp hr)</t>
  </si>
  <si>
    <t>WebFIRE
SCC 20100102</t>
  </si>
  <si>
    <t>Stack Exit Flowrate per Cell</t>
  </si>
  <si>
    <t>Stack Exit Velocity per Cell</t>
  </si>
  <si>
    <t>Stack Diameter per Cell</t>
  </si>
  <si>
    <r>
      <t>Cooling Tower</t>
    </r>
    <r>
      <rPr>
        <vertAlign val="superscript"/>
        <sz val="10"/>
        <rFont val="Arial"/>
        <family val="2"/>
      </rPr>
      <t>a</t>
    </r>
  </si>
  <si>
    <r>
      <rPr>
        <vertAlign val="superscript"/>
        <sz val="10"/>
        <rFont val="Arial"/>
        <family val="2"/>
      </rPr>
      <t>a</t>
    </r>
    <r>
      <rPr>
        <sz val="10"/>
        <rFont val="Arial"/>
        <family val="2"/>
      </rPr>
      <t>There are 9 cooling tower cells.  Data shown are for each cell individually.</t>
    </r>
  </si>
  <si>
    <t xml:space="preserve">Flowrate </t>
  </si>
  <si>
    <t>HAPs - AP-42, Section 3.1, Table 3.1-3, April 2000</t>
  </si>
  <si>
    <t>Adjusted Emission Factor
(lb/mmscf)</t>
  </si>
  <si>
    <t>Hourly Heat Input</t>
  </si>
  <si>
    <r>
      <t>SO</t>
    </r>
    <r>
      <rPr>
        <vertAlign val="subscript"/>
        <sz val="10"/>
        <rFont val="Arial"/>
        <family val="2"/>
      </rPr>
      <t>x</t>
    </r>
  </si>
  <si>
    <t>BOWIE POWER STATION
TURBINE AND DUCT BURNER SCREENING STACK PARAMETERS</t>
  </si>
  <si>
    <t>Total Hours in Startup/Year</t>
  </si>
  <si>
    <r>
      <t>Emission Factor</t>
    </r>
    <r>
      <rPr>
        <b/>
        <sz val="10"/>
        <rFont val="Arial"/>
        <family val="2"/>
      </rPr>
      <t xml:space="preserve">
(g/hp hr)</t>
    </r>
  </si>
  <si>
    <t>Criteria Pollutant Emission Estimation - one fire pump</t>
  </si>
  <si>
    <t>Diesel Heat Content</t>
  </si>
  <si>
    <t>Manufacturer's Data</t>
  </si>
  <si>
    <t>VOCs</t>
  </si>
  <si>
    <t>--</t>
  </si>
  <si>
    <t>Use for shutdown hours</t>
  </si>
  <si>
    <r>
      <t>PM</t>
    </r>
    <r>
      <rPr>
        <vertAlign val="subscript"/>
        <sz val="10"/>
        <rFont val="Arial"/>
        <family val="2"/>
      </rPr>
      <t>2.5</t>
    </r>
  </si>
  <si>
    <t xml:space="preserve">TDS in blowdown </t>
  </si>
  <si>
    <t>ppmw</t>
  </si>
  <si>
    <r>
      <t>Droplet Diameter
(μm)</t>
    </r>
    <r>
      <rPr>
        <b/>
        <vertAlign val="superscript"/>
        <sz val="10"/>
        <color indexed="8"/>
        <rFont val="Arial"/>
        <family val="2"/>
      </rPr>
      <t>a</t>
    </r>
  </si>
  <si>
    <t>Solid Particle Diameter (μm)</t>
  </si>
  <si>
    <t xml:space="preserve">Weighted Average </t>
  </si>
  <si>
    <r>
      <t>59</t>
    </r>
    <r>
      <rPr>
        <vertAlign val="superscript"/>
        <sz val="10"/>
        <rFont val="Arial"/>
        <family val="2"/>
      </rPr>
      <t>o</t>
    </r>
    <r>
      <rPr>
        <sz val="10"/>
        <rFont val="Arial"/>
        <family val="2"/>
      </rPr>
      <t>F</t>
    </r>
  </si>
  <si>
    <r>
      <t>Stack Temperature</t>
    </r>
    <r>
      <rPr>
        <b/>
        <sz val="10"/>
        <rFont val="Arial"/>
        <family val="2"/>
      </rPr>
      <t xml:space="preserve">
(K)</t>
    </r>
  </si>
  <si>
    <r>
      <t xml:space="preserve">Exit Velocity </t>
    </r>
    <r>
      <rPr>
        <b/>
        <sz val="10"/>
        <rFont val="Arial"/>
        <family val="2"/>
      </rPr>
      <t>(meters/sec)</t>
    </r>
  </si>
  <si>
    <r>
      <t>% of PM</t>
    </r>
    <r>
      <rPr>
        <b/>
        <vertAlign val="superscript"/>
        <sz val="10"/>
        <rFont val="Arial"/>
        <family val="2"/>
      </rPr>
      <t>a</t>
    </r>
  </si>
  <si>
    <t>Particle Size Distribution</t>
  </si>
  <si>
    <r>
      <rPr>
        <vertAlign val="superscript"/>
        <sz val="10"/>
        <rFont val="Arial"/>
        <family val="2"/>
      </rPr>
      <t>a</t>
    </r>
    <r>
      <rPr>
        <sz val="10"/>
        <rFont val="Arial"/>
        <family val="2"/>
      </rPr>
      <t>Calculated on page 3.</t>
    </r>
  </si>
  <si>
    <r>
      <t>PM</t>
    </r>
    <r>
      <rPr>
        <b/>
        <vertAlign val="subscript"/>
        <sz val="10"/>
        <rFont val="Arial"/>
        <family val="2"/>
      </rPr>
      <t>10</t>
    </r>
  </si>
  <si>
    <r>
      <t>PM</t>
    </r>
    <r>
      <rPr>
        <b/>
        <vertAlign val="subscript"/>
        <sz val="10"/>
        <rFont val="Arial"/>
        <family val="2"/>
      </rPr>
      <t>2.5</t>
    </r>
  </si>
  <si>
    <r>
      <t>10</t>
    </r>
    <r>
      <rPr>
        <b/>
        <vertAlign val="superscript"/>
        <sz val="10"/>
        <color indexed="8"/>
        <rFont val="Arial"/>
        <family val="2"/>
      </rPr>
      <t>o</t>
    </r>
    <r>
      <rPr>
        <b/>
        <sz val="10"/>
        <color indexed="8"/>
        <rFont val="Arial"/>
        <family val="2"/>
      </rPr>
      <t>F</t>
    </r>
  </si>
  <si>
    <t>Assume Normal Operation for 12 hours</t>
  </si>
  <si>
    <t>General information about the equipment</t>
  </si>
  <si>
    <t>Sources for determining emissions</t>
  </si>
  <si>
    <t>Aux Boiler Emissions</t>
  </si>
  <si>
    <t>Turbine+Duct Burner HAPs</t>
  </si>
  <si>
    <t>Turbine and Duct Burner Annual</t>
  </si>
  <si>
    <t>Turbine HAP Emissions</t>
  </si>
  <si>
    <t>Duct Burner HAP Emissions</t>
  </si>
  <si>
    <t>Emergency Fire Pump Emissions</t>
  </si>
  <si>
    <t>Cooling Tower</t>
  </si>
  <si>
    <t>Cooling Tower HAPs</t>
  </si>
  <si>
    <t>Evaporation Pond Emissions</t>
  </si>
  <si>
    <t>Modeling Data Summary</t>
  </si>
  <si>
    <t>Modeling - Screening Parameters</t>
  </si>
  <si>
    <t>Turbine+Duct Burner Stack Info</t>
  </si>
  <si>
    <t>Turbine Stack Data Weighted Ave</t>
  </si>
  <si>
    <t>Given for several scenarios</t>
  </si>
  <si>
    <t>Listed by each piece of equipment and in total</t>
  </si>
  <si>
    <t>Listed in the order in which tab appears, followed by a brief description</t>
  </si>
  <si>
    <t>Bowie Sources</t>
  </si>
  <si>
    <t>Emission Factor List</t>
  </si>
  <si>
    <t>Annual Project Total Emissions</t>
  </si>
  <si>
    <t>One Hour Emission Crit Summary</t>
  </si>
  <si>
    <t>Annual HAP Summary</t>
  </si>
  <si>
    <t>Ann Crit Emiss Summar-uncontrol</t>
  </si>
  <si>
    <t>Turbine Startup Emissions</t>
  </si>
  <si>
    <t>Turbine Shutdown Emissions</t>
  </si>
  <si>
    <t>Turbine and Duct Burner Hourly</t>
  </si>
  <si>
    <t>Emissions given for several different situations, uncontrolled/controlled</t>
  </si>
  <si>
    <t>Emissions given in uncontrolled-hourly and controlled-annually</t>
  </si>
  <si>
    <t>Given in tons/year</t>
  </si>
  <si>
    <t>Parameters and Emissions</t>
  </si>
  <si>
    <t>Parameters and PM/PM10/PM2.5 emissions</t>
  </si>
  <si>
    <t>Parameters</t>
  </si>
  <si>
    <t>Average stack weighted parameters</t>
  </si>
  <si>
    <t>Provides one hour emission totals for normal and startup operation</t>
  </si>
  <si>
    <t>8.09E-03 * sulfur content %</t>
  </si>
  <si>
    <r>
      <rPr>
        <vertAlign val="superscript"/>
        <sz val="10"/>
        <rFont val="Arial"/>
        <family val="2"/>
      </rPr>
      <t>a</t>
    </r>
    <r>
      <rPr>
        <sz val="10"/>
        <rFont val="Arial"/>
        <family val="2"/>
      </rPr>
      <t>AP-42 Section 3.3, "Gasoline and Diesel Industrial Engines" indicates that SO</t>
    </r>
    <r>
      <rPr>
        <vertAlign val="subscript"/>
        <sz val="10"/>
        <rFont val="Arial"/>
        <family val="2"/>
      </rPr>
      <t>2</t>
    </r>
    <r>
      <rPr>
        <sz val="10"/>
        <rFont val="Arial"/>
        <family val="2"/>
      </rPr>
      <t xml:space="preserve"> emissions are directly related to fuel sulfur content.  However, the emission factors provided in that section do not include a factor for fuel sulfur content nor is the fuel sulfur content related to the factors provided.  AP-42 Section 3.4, "Large Stationary Diesel and All Stationary Dual-fuel Engines" includes SO</t>
    </r>
    <r>
      <rPr>
        <vertAlign val="subscript"/>
        <sz val="10"/>
        <rFont val="Arial"/>
        <family val="2"/>
      </rPr>
      <t>2</t>
    </r>
    <r>
      <rPr>
        <sz val="10"/>
        <rFont val="Arial"/>
        <family val="2"/>
      </rPr>
      <t xml:space="preserve"> emissions factors that take fuel sulfur content into account and that assume that all sulfur in fuel is converted to SO</t>
    </r>
    <r>
      <rPr>
        <vertAlign val="subscript"/>
        <sz val="10"/>
        <rFont val="Arial"/>
        <family val="2"/>
      </rPr>
      <t>2</t>
    </r>
    <r>
      <rPr>
        <sz val="10"/>
        <rFont val="Arial"/>
        <family val="2"/>
      </rPr>
      <t>.  To ensure that the fuel sulfur content is taken into consideration, the emission factor from section 3.4-1 has been used.</t>
    </r>
  </si>
  <si>
    <t>% Mass Smaller</t>
  </si>
  <si>
    <t>Stack Height
(m)</t>
  </si>
  <si>
    <t>NAAQS/AAAQS</t>
  </si>
  <si>
    <t>Annual Average</t>
  </si>
  <si>
    <r>
      <t>% Mass Larger</t>
    </r>
    <r>
      <rPr>
        <b/>
        <vertAlign val="superscript"/>
        <sz val="10"/>
        <color indexed="8"/>
        <rFont val="Arial"/>
        <family val="2"/>
      </rPr>
      <t>a</t>
    </r>
  </si>
  <si>
    <r>
      <rPr>
        <vertAlign val="superscript"/>
        <sz val="10"/>
        <rFont val="Arial"/>
        <family val="2"/>
      </rPr>
      <t>a</t>
    </r>
    <r>
      <rPr>
        <sz val="10"/>
        <rFont val="Arial"/>
        <family val="2"/>
      </rPr>
      <t>From "Cooling Tower Drift Mass Distribution, Excel Drift Eliminators" for Marley TU10 and TU12 drift eliminators</t>
    </r>
  </si>
  <si>
    <t>Hours of Operation of Emergency Fire Pump in 24 hour period =</t>
  </si>
  <si>
    <t>Operation for 12 hours</t>
  </si>
  <si>
    <t>Operation for 4 hours</t>
  </si>
  <si>
    <t>Operation for 24 hours</t>
  </si>
  <si>
    <t>24-hour Crit Emissions Summary</t>
  </si>
  <si>
    <t>GHG Emissions</t>
  </si>
  <si>
    <t>ppm</t>
  </si>
  <si>
    <r>
      <t>AP-42, 10/96, Table 3.4-1</t>
    </r>
    <r>
      <rPr>
        <vertAlign val="superscript"/>
        <sz val="10"/>
        <rFont val="Arial"/>
        <family val="2"/>
      </rPr>
      <t>a</t>
    </r>
  </si>
  <si>
    <r>
      <t>PM</t>
    </r>
    <r>
      <rPr>
        <vertAlign val="subscript"/>
        <sz val="10"/>
        <rFont val="Arial"/>
        <family val="2"/>
      </rPr>
      <t>10</t>
    </r>
    <r>
      <rPr>
        <sz val="10"/>
        <rFont val="Arial"/>
        <family val="2"/>
      </rPr>
      <t xml:space="preserve"> - Based on design of drift eliminators, cooling tower circulating rate, and total dissolved solids content of water.  Percentage of PM that is PM</t>
    </r>
    <r>
      <rPr>
        <vertAlign val="subscript"/>
        <sz val="10"/>
        <rFont val="Arial"/>
        <family val="2"/>
      </rPr>
      <t>10</t>
    </r>
    <r>
      <rPr>
        <sz val="10"/>
        <rFont val="Arial"/>
        <family val="2"/>
      </rPr>
      <t xml:space="preserve"> based on calculation from 2001 AWMA paper.  Droplet Distribution for drift eliminators from Marley</t>
    </r>
  </si>
  <si>
    <r>
      <rPr>
        <vertAlign val="superscript"/>
        <sz val="10"/>
        <rFont val="Arial"/>
        <family val="2"/>
      </rPr>
      <t>a</t>
    </r>
    <r>
      <rPr>
        <sz val="10"/>
        <rFont val="Arial"/>
        <family val="2"/>
      </rPr>
      <t xml:space="preserve">Note that </t>
    </r>
    <r>
      <rPr>
        <sz val="10"/>
        <rFont val="Arial"/>
        <family val="2"/>
      </rPr>
      <t>PAHs are a subset of POMs</t>
    </r>
  </si>
  <si>
    <t>For "Emission Sources" Forms</t>
  </si>
  <si>
    <r>
      <rPr>
        <b/>
        <vertAlign val="superscript"/>
        <sz val="10"/>
        <rFont val="Arial"/>
        <family val="2"/>
      </rPr>
      <t>o</t>
    </r>
    <r>
      <rPr>
        <b/>
        <sz val="10"/>
        <rFont val="Arial"/>
        <family val="2"/>
      </rPr>
      <t>F</t>
    </r>
  </si>
  <si>
    <t>feet/sec</t>
  </si>
  <si>
    <t xml:space="preserve">feet </t>
  </si>
  <si>
    <t>ft/second</t>
  </si>
  <si>
    <t>NAAQS
Vegetation and Soils Impacts</t>
  </si>
  <si>
    <t>Based on source testing of similar combustion turbines and the results of the Best Available Control Technology Analysis</t>
  </si>
  <si>
    <t>Turbine and Duct Burner volatile HAP emissions control</t>
  </si>
  <si>
    <t>HAPs - AP-42, Section 1.4 Tables 1.4-3 and -4, July 1998</t>
  </si>
  <si>
    <r>
      <t>NOx, CO, VOC, PM/PM</t>
    </r>
    <r>
      <rPr>
        <vertAlign val="subscript"/>
        <sz val="10"/>
        <rFont val="Arial"/>
        <family val="2"/>
      </rPr>
      <t>10</t>
    </r>
    <r>
      <rPr>
        <sz val="10"/>
        <rFont val="Arial"/>
        <family val="2"/>
      </rPr>
      <t>/PM</t>
    </r>
    <r>
      <rPr>
        <vertAlign val="subscript"/>
        <sz val="10"/>
        <rFont val="Arial"/>
        <family val="2"/>
      </rPr>
      <t>2.5</t>
    </r>
    <r>
      <rPr>
        <sz val="10"/>
        <rFont val="Arial"/>
        <family val="2"/>
      </rPr>
      <t xml:space="preserve"> - Cummins CFP9E-F10 Fire Power Engine Specification Sheet</t>
    </r>
  </si>
  <si>
    <r>
      <t>Oxidation Catalyst CO</t>
    </r>
    <r>
      <rPr>
        <b/>
        <vertAlign val="subscript"/>
        <sz val="12"/>
        <rFont val="Arial"/>
        <family val="2"/>
      </rPr>
      <t>2</t>
    </r>
    <r>
      <rPr>
        <b/>
        <sz val="12"/>
        <rFont val="Arial"/>
        <family val="2"/>
      </rPr>
      <t xml:space="preserve"> Emissions</t>
    </r>
  </si>
  <si>
    <r>
      <t>NO</t>
    </r>
    <r>
      <rPr>
        <vertAlign val="subscript"/>
        <sz val="10"/>
        <rFont val="Arial"/>
        <family val="2"/>
      </rPr>
      <t>x</t>
    </r>
    <r>
      <rPr>
        <sz val="10"/>
        <rFont val="Arial"/>
        <family val="2"/>
      </rPr>
      <t>, CO, VOC, PM/PM</t>
    </r>
    <r>
      <rPr>
        <vertAlign val="subscript"/>
        <sz val="10"/>
        <rFont val="Arial"/>
        <family val="2"/>
      </rPr>
      <t>10</t>
    </r>
    <r>
      <rPr>
        <sz val="10"/>
        <rFont val="Arial"/>
        <family val="2"/>
      </rPr>
      <t>/PM</t>
    </r>
    <r>
      <rPr>
        <vertAlign val="subscript"/>
        <sz val="10"/>
        <rFont val="Arial"/>
        <family val="2"/>
      </rPr>
      <t xml:space="preserve">2.5 </t>
    </r>
    <r>
      <rPr>
        <sz val="10"/>
        <rFont val="Arial"/>
        <family val="2"/>
      </rPr>
      <t>provided by Rentech</t>
    </r>
  </si>
  <si>
    <r>
      <t>SO</t>
    </r>
    <r>
      <rPr>
        <vertAlign val="subscript"/>
        <sz val="10"/>
        <rFont val="Arial"/>
        <family val="2"/>
      </rPr>
      <t>2</t>
    </r>
    <r>
      <rPr>
        <sz val="10"/>
        <rFont val="Arial"/>
        <family val="2"/>
      </rPr>
      <t xml:space="preserve"> - AP-42, Section 1.4, Table 1.4-2, July 1998, adjusted based on natural gas sulfur content from El Paso Natural Gas</t>
    </r>
  </si>
  <si>
    <r>
      <t>SO</t>
    </r>
    <r>
      <rPr>
        <vertAlign val="subscript"/>
        <sz val="10"/>
        <rFont val="Arial"/>
        <family val="2"/>
      </rPr>
      <t>2</t>
    </r>
    <r>
      <rPr>
        <sz val="10"/>
        <rFont val="Arial"/>
        <family val="2"/>
      </rPr>
      <t xml:space="preserve"> AP-42, Section 3.4, Table 3.4-1, October 1996</t>
    </r>
  </si>
  <si>
    <t>HAPs - AP-42, Section 3.3, Table 3.3-2 and WebFIRE</t>
  </si>
  <si>
    <t>GHG Emissions</t>
  </si>
  <si>
    <t>Hazardous Air Pollutant Emission Estimation</t>
  </si>
  <si>
    <t>Heat Input, mmBtu/hour HHV</t>
  </si>
  <si>
    <t>Number of Circuit Breakers</t>
  </si>
  <si>
    <t>Circuit Breakers</t>
  </si>
  <si>
    <t>Turbines and Duct Burners - Total</t>
  </si>
  <si>
    <r>
      <t>SF</t>
    </r>
    <r>
      <rPr>
        <b/>
        <vertAlign val="subscript"/>
        <sz val="10"/>
        <rFont val="Arial"/>
        <family val="2"/>
      </rPr>
      <t>6</t>
    </r>
  </si>
  <si>
    <r>
      <t>CH</t>
    </r>
    <r>
      <rPr>
        <b/>
        <vertAlign val="subscript"/>
        <sz val="10"/>
        <rFont val="Arial"/>
        <family val="2"/>
      </rPr>
      <t>4</t>
    </r>
    <r>
      <rPr>
        <b/>
        <vertAlign val="superscript"/>
        <sz val="10"/>
        <rFont val="Arial"/>
        <family val="2"/>
      </rPr>
      <t>b</t>
    </r>
    <r>
      <rPr>
        <b/>
        <sz val="10"/>
        <rFont val="Arial"/>
        <family val="2"/>
      </rPr>
      <t xml:space="preserve"> (kg/mmBtu)</t>
    </r>
  </si>
  <si>
    <r>
      <t>N</t>
    </r>
    <r>
      <rPr>
        <b/>
        <vertAlign val="subscript"/>
        <sz val="10"/>
        <rFont val="Arial"/>
        <family val="2"/>
      </rPr>
      <t>2</t>
    </r>
    <r>
      <rPr>
        <b/>
        <sz val="10"/>
        <rFont val="Arial"/>
        <family val="2"/>
      </rPr>
      <t>O</t>
    </r>
    <r>
      <rPr>
        <b/>
        <vertAlign val="superscript"/>
        <sz val="10"/>
        <rFont val="Arial"/>
        <family val="2"/>
      </rPr>
      <t>b</t>
    </r>
    <r>
      <rPr>
        <b/>
        <sz val="10"/>
        <rFont val="Arial"/>
        <family val="2"/>
      </rPr>
      <t xml:space="preserve"> (kg/mmBtu)</t>
    </r>
  </si>
  <si>
    <r>
      <rPr>
        <vertAlign val="superscript"/>
        <sz val="10"/>
        <rFont val="Arial"/>
        <family val="2"/>
      </rPr>
      <t>b</t>
    </r>
    <r>
      <rPr>
        <sz val="10"/>
        <rFont val="Arial"/>
        <family val="2"/>
      </rPr>
      <t>From 40 Code of Federal Regulations 98, Table C-2, "Default CH</t>
    </r>
    <r>
      <rPr>
        <vertAlign val="subscript"/>
        <sz val="10"/>
        <rFont val="Arial"/>
        <family val="2"/>
      </rPr>
      <t>4</t>
    </r>
    <r>
      <rPr>
        <sz val="10"/>
        <rFont val="Arial"/>
        <family val="2"/>
      </rPr>
      <t xml:space="preserve"> and N</t>
    </r>
    <r>
      <rPr>
        <vertAlign val="subscript"/>
        <sz val="10"/>
        <rFont val="Arial"/>
        <family val="2"/>
      </rPr>
      <t>2</t>
    </r>
    <r>
      <rPr>
        <sz val="10"/>
        <rFont val="Arial"/>
        <family val="2"/>
      </rPr>
      <t>O Emission Factors for Various Types of Fuel".</t>
    </r>
  </si>
  <si>
    <r>
      <t>CO</t>
    </r>
    <r>
      <rPr>
        <b/>
        <vertAlign val="subscript"/>
        <sz val="10"/>
        <rFont val="Arial"/>
        <family val="2"/>
      </rPr>
      <t>2</t>
    </r>
    <r>
      <rPr>
        <b/>
        <sz val="10"/>
        <rFont val="Arial"/>
        <family val="2"/>
      </rPr>
      <t>e Emissions Total (tons/year)</t>
    </r>
  </si>
  <si>
    <r>
      <t>SF</t>
    </r>
    <r>
      <rPr>
        <b/>
        <vertAlign val="subscript"/>
        <sz val="10"/>
        <rFont val="Arial"/>
        <family val="2"/>
      </rPr>
      <t>6</t>
    </r>
    <r>
      <rPr>
        <b/>
        <sz val="10"/>
        <rFont val="Arial"/>
        <family val="2"/>
      </rPr>
      <t xml:space="preserve"> Contents (lbs)</t>
    </r>
  </si>
  <si>
    <t>Circuit Breaker - Each</t>
  </si>
  <si>
    <t>Controlled CO Emissions (tons/year)</t>
  </si>
  <si>
    <t>Uncontrolled CO Emissions (tons/year)</t>
  </si>
  <si>
    <t>CO Converted by Oxidation Catalyst (tons/year)</t>
  </si>
  <si>
    <r>
      <t>CO</t>
    </r>
    <r>
      <rPr>
        <b/>
        <vertAlign val="subscript"/>
        <sz val="10"/>
        <rFont val="Arial"/>
        <family val="2"/>
      </rPr>
      <t>2</t>
    </r>
    <r>
      <rPr>
        <b/>
        <sz val="10"/>
        <rFont val="Arial"/>
        <family val="2"/>
      </rPr>
      <t xml:space="preserve"> Emissions from Oxidation Catalyst Conversion from CO (tons/year)</t>
    </r>
  </si>
  <si>
    <t>Turbine and Duct Burner - Each (tons/year)</t>
  </si>
  <si>
    <r>
      <t>SF</t>
    </r>
    <r>
      <rPr>
        <b/>
        <vertAlign val="subscript"/>
        <sz val="10"/>
        <rFont val="Arial"/>
        <family val="2"/>
      </rPr>
      <t>6</t>
    </r>
    <r>
      <rPr>
        <b/>
        <sz val="10"/>
        <rFont val="Arial"/>
        <family val="2"/>
      </rPr>
      <t xml:space="preserve"> (% Leak Rate)</t>
    </r>
    <r>
      <rPr>
        <b/>
        <vertAlign val="superscript"/>
        <sz val="10"/>
        <rFont val="Arial"/>
        <family val="2"/>
      </rPr>
      <t>c</t>
    </r>
  </si>
  <si>
    <r>
      <t>Global Warming Potential</t>
    </r>
    <r>
      <rPr>
        <vertAlign val="superscript"/>
        <sz val="10"/>
        <rFont val="Arial"/>
        <family val="2"/>
      </rPr>
      <t>d</t>
    </r>
  </si>
  <si>
    <r>
      <rPr>
        <vertAlign val="superscript"/>
        <sz val="10"/>
        <rFont val="Arial"/>
        <family val="2"/>
      </rPr>
      <t>d</t>
    </r>
    <r>
      <rPr>
        <sz val="10"/>
        <rFont val="Arial"/>
        <family val="2"/>
      </rPr>
      <t>From 40 CFR 98, Table A-1 "Global Warming Potentials"</t>
    </r>
  </si>
  <si>
    <r>
      <rPr>
        <vertAlign val="superscript"/>
        <sz val="10"/>
        <rFont val="Arial"/>
        <family val="2"/>
      </rPr>
      <t>c</t>
    </r>
    <r>
      <rPr>
        <sz val="10"/>
        <rFont val="Arial"/>
        <family val="2"/>
      </rPr>
      <t>From</t>
    </r>
    <r>
      <rPr>
        <i/>
        <sz val="10"/>
        <rFont val="Arial"/>
        <family val="2"/>
      </rPr>
      <t xml:space="preserve"> Electric Power Substation Engineering</t>
    </r>
    <r>
      <rPr>
        <sz val="10"/>
        <rFont val="Arial"/>
        <family val="2"/>
      </rPr>
      <t>, 2nd Edition, 2007, Edited by John D. McDonald.  "Field checks of GIS [gas-insulated substations] in service after many years of service indicate that a leak rate objective lower than 0.1% per year is obtainable".</t>
    </r>
  </si>
  <si>
    <r>
      <rPr>
        <vertAlign val="superscript"/>
        <sz val="10"/>
        <rFont val="Arial"/>
        <family val="2"/>
      </rPr>
      <t>a</t>
    </r>
    <r>
      <rPr>
        <sz val="10"/>
        <rFont val="Arial"/>
        <family val="2"/>
      </rPr>
      <t>From 40 Code of Federal Regulations 98, Table C-1, "Default CO</t>
    </r>
    <r>
      <rPr>
        <vertAlign val="subscript"/>
        <sz val="10"/>
        <rFont val="Arial"/>
        <family val="2"/>
      </rPr>
      <t>2</t>
    </r>
    <r>
      <rPr>
        <sz val="10"/>
        <rFont val="Arial"/>
        <family val="2"/>
      </rPr>
      <t xml:space="preserve"> Emission Factors and High Heat Values for Various Types of Fuel".</t>
    </r>
  </si>
  <si>
    <t>Turbines and Duct Burners - Duct Firing</t>
  </si>
  <si>
    <t>Turbines - Startup</t>
  </si>
  <si>
    <t>Turbines - Shutdown</t>
  </si>
  <si>
    <t>Turbines and Duct Burners - Oxidation Catalyst Conversion of CO</t>
  </si>
  <si>
    <t>Heat Input Rate (mmBtu/year)</t>
  </si>
  <si>
    <t>Heat Input Rate (mmBtu/hour)</t>
  </si>
  <si>
    <t>Hours of Operation (hours/year)</t>
  </si>
  <si>
    <t>Turbines - No Power Augmentation, No Duct Firing</t>
  </si>
  <si>
    <t>Operating Scenario</t>
  </si>
  <si>
    <r>
      <t>Turbine Heat Input  - 59</t>
    </r>
    <r>
      <rPr>
        <vertAlign val="superscript"/>
        <sz val="10"/>
        <rFont val="Arial"/>
        <family val="2"/>
      </rPr>
      <t>o</t>
    </r>
    <r>
      <rPr>
        <sz val="10"/>
        <rFont val="Arial"/>
        <family val="2"/>
      </rPr>
      <t>F Ambient</t>
    </r>
  </si>
  <si>
    <t>100% Load</t>
  </si>
  <si>
    <t>Duct Burner Heat Input</t>
  </si>
  <si>
    <t>mmBtu/hour HHV</t>
  </si>
  <si>
    <t xml:space="preserve">BOWIE POWER STATION
ANNUAL GREENHOUSE GAS EMISSIONS </t>
  </si>
  <si>
    <r>
      <t>Substation Leak Rate from</t>
    </r>
    <r>
      <rPr>
        <i/>
        <sz val="10"/>
        <rFont val="Arial"/>
        <family val="2"/>
      </rPr>
      <t xml:space="preserve"> Electric Power Substation Engineering</t>
    </r>
    <r>
      <rPr>
        <sz val="10"/>
        <rFont val="Arial"/>
        <family val="2"/>
      </rPr>
      <t>, 2nd Edition, 2007, Edited by John D. McDonald.  "Field checks of GIS [gas-insulated substations] in service after many years of service indicate that a leak rate objective lower than 0.1% per year is obtainable".</t>
    </r>
  </si>
  <si>
    <r>
      <t>CO</t>
    </r>
    <r>
      <rPr>
        <vertAlign val="subscript"/>
        <sz val="10"/>
        <rFont val="Arial"/>
        <family val="2"/>
      </rPr>
      <t>2</t>
    </r>
    <r>
      <rPr>
        <sz val="10"/>
        <rFont val="Arial"/>
        <family val="2"/>
      </rPr>
      <t xml:space="preserve"> - </t>
    </r>
    <r>
      <rPr>
        <sz val="10"/>
        <rFont val="Arial"/>
        <family val="2"/>
      </rPr>
      <t>40 Code of Federal Regulations 98, Table C-1, "Default CO</t>
    </r>
    <r>
      <rPr>
        <vertAlign val="subscript"/>
        <sz val="10"/>
        <rFont val="Arial"/>
        <family val="2"/>
      </rPr>
      <t>2</t>
    </r>
    <r>
      <rPr>
        <sz val="10"/>
        <rFont val="Arial"/>
        <family val="2"/>
      </rPr>
      <t xml:space="preserve"> Emission Factors and High Heat Values for Various Types of Fuel".</t>
    </r>
  </si>
  <si>
    <r>
      <t>CH</t>
    </r>
    <r>
      <rPr>
        <vertAlign val="subscript"/>
        <sz val="10"/>
        <rFont val="Arial"/>
        <family val="2"/>
      </rPr>
      <t>4</t>
    </r>
    <r>
      <rPr>
        <sz val="10"/>
        <rFont val="Arial"/>
        <family val="2"/>
      </rPr>
      <t xml:space="preserve"> and N</t>
    </r>
    <r>
      <rPr>
        <vertAlign val="subscript"/>
        <sz val="10"/>
        <rFont val="Arial"/>
        <family val="2"/>
      </rPr>
      <t>2</t>
    </r>
    <r>
      <rPr>
        <sz val="10"/>
        <rFont val="Arial"/>
        <family val="2"/>
      </rPr>
      <t xml:space="preserve">0 - </t>
    </r>
    <r>
      <rPr>
        <sz val="10"/>
        <rFont val="Arial"/>
        <family val="2"/>
      </rPr>
      <t>40 Code of Federal Regulations 98, Table C-2, "Default CH</t>
    </r>
    <r>
      <rPr>
        <vertAlign val="subscript"/>
        <sz val="10"/>
        <rFont val="Arial"/>
        <family val="2"/>
      </rPr>
      <t>4</t>
    </r>
    <r>
      <rPr>
        <sz val="10"/>
        <rFont val="Arial"/>
        <family val="2"/>
      </rPr>
      <t xml:space="preserve"> and N</t>
    </r>
    <r>
      <rPr>
        <vertAlign val="subscript"/>
        <sz val="10"/>
        <rFont val="Arial"/>
        <family val="2"/>
      </rPr>
      <t>2</t>
    </r>
    <r>
      <rPr>
        <sz val="10"/>
        <rFont val="Arial"/>
        <family val="2"/>
      </rPr>
      <t>O Emission Factors for Various Types of Fuel".</t>
    </r>
  </si>
  <si>
    <t>Global Warming Potentials - From 40 CFR 98, Table A-1 "Global Warming Potentials"</t>
  </si>
  <si>
    <t>BOWIE POWER STATION
MODEL 4 EMISSION WORKBOOK
TABLE OF CONTENTS</t>
  </si>
  <si>
    <t>BOWIE POWER STATION 
MODEL 4 EMISSION UNITS</t>
  </si>
  <si>
    <t>BOWIE POWER STATION - MODEL 4
EMISSION REFERENCE SUMMARY LIST</t>
  </si>
  <si>
    <t xml:space="preserve">BOWIE POWER STATION - MODEL 4
ANNUAL PROJECT CRITERIA POLLUTANT EMISSIONS </t>
  </si>
  <si>
    <t>BOWIE POWER STATION - MODEL 4
ANNUAL CRITERIA POLLUTANT EMISSIONS SUMMARY - UNCONTROLLED</t>
  </si>
  <si>
    <t xml:space="preserve">BOWIE POWER STATION - MODEL 4
ONE-HOUR CRITERIA POLLUTANT EMISSION SUMMARY </t>
  </si>
  <si>
    <t>BOWIE POWER STATION - MODEL 4
ANNUAL HAP POLLUTANT EMISSION SUMMARY</t>
  </si>
  <si>
    <r>
      <t>PM/PM</t>
    </r>
    <r>
      <rPr>
        <vertAlign val="subscript"/>
        <sz val="10"/>
        <rFont val="Arial"/>
        <family val="2"/>
      </rPr>
      <t>10</t>
    </r>
    <r>
      <rPr>
        <sz val="10"/>
        <rFont val="Arial"/>
        <family val="2"/>
      </rPr>
      <t>/PM</t>
    </r>
    <r>
      <rPr>
        <vertAlign val="subscript"/>
        <sz val="10"/>
        <rFont val="Arial"/>
        <family val="2"/>
      </rPr>
      <t>2.5</t>
    </r>
    <r>
      <rPr>
        <sz val="10"/>
        <rFont val="Arial"/>
        <family val="2"/>
      </rPr>
      <t xml:space="preserve"> - based on sulfur content of fuel, source testing of similar combustion turbines, and the results of the best available control technology analysis</t>
    </r>
  </si>
  <si>
    <r>
      <t>Criteria Pollutants except for PM/PM</t>
    </r>
    <r>
      <rPr>
        <vertAlign val="subscript"/>
        <sz val="10"/>
        <rFont val="Arial"/>
        <family val="2"/>
      </rPr>
      <t>10</t>
    </r>
    <r>
      <rPr>
        <sz val="10"/>
        <rFont val="Arial"/>
        <family val="2"/>
      </rPr>
      <t>/PM</t>
    </r>
    <r>
      <rPr>
        <vertAlign val="subscript"/>
        <sz val="10"/>
        <rFont val="Arial"/>
        <family val="2"/>
      </rPr>
      <t>2.5</t>
    </r>
    <r>
      <rPr>
        <sz val="10"/>
        <rFont val="Arial"/>
        <family val="2"/>
      </rPr>
      <t>- from Kiewit Power Engineers Co.</t>
    </r>
  </si>
  <si>
    <t>Hours of Turbine Operation (no duct firing) per Year =</t>
  </si>
  <si>
    <t>Origins of Project Data</t>
  </si>
  <si>
    <t>Data Tracking</t>
  </si>
  <si>
    <t>GE Frame 7FA Model 4 Natural Gas-Fired Combined Cycle Combustion Turbines</t>
  </si>
  <si>
    <t>Maximum heat input for both turbines divided by 2</t>
  </si>
  <si>
    <t>from El Paso Corporation</t>
  </si>
  <si>
    <t>Hours limit from 40 CFR 60.4211(f)(2)</t>
  </si>
  <si>
    <t>Diesel BTU content from AP-42, Appendix A, Page A-5
Diesel sulfur content required by 40 CFR Subpart IIII 60.4207(b) which refers to 80.510(b)</t>
  </si>
  <si>
    <t>Turbine Startup (No control)</t>
  </si>
  <si>
    <t>Heat Input, mmBtu/hour HHV - Total Two Turbines</t>
  </si>
  <si>
    <t>Turbine 100%</t>
  </si>
  <si>
    <t>Turbine 80%</t>
  </si>
  <si>
    <t>Turbine Minimum Compliance Load</t>
  </si>
  <si>
    <r>
      <t xml:space="preserve">10 </t>
    </r>
    <r>
      <rPr>
        <b/>
        <vertAlign val="superscript"/>
        <sz val="10"/>
        <rFont val="Arial"/>
        <family val="2"/>
      </rPr>
      <t>o</t>
    </r>
    <r>
      <rPr>
        <b/>
        <sz val="10"/>
        <rFont val="Arial"/>
        <family val="2"/>
      </rPr>
      <t>F</t>
    </r>
  </si>
  <si>
    <r>
      <t xml:space="preserve">59 </t>
    </r>
    <r>
      <rPr>
        <b/>
        <vertAlign val="superscript"/>
        <sz val="10"/>
        <rFont val="Arial"/>
        <family val="2"/>
      </rPr>
      <t>o</t>
    </r>
    <r>
      <rPr>
        <b/>
        <sz val="10"/>
        <rFont val="Arial"/>
        <family val="2"/>
      </rPr>
      <t>F</t>
    </r>
  </si>
  <si>
    <r>
      <t xml:space="preserve">102 </t>
    </r>
    <r>
      <rPr>
        <b/>
        <vertAlign val="superscript"/>
        <sz val="10"/>
        <rFont val="Arial"/>
        <family val="2"/>
      </rPr>
      <t>o</t>
    </r>
    <r>
      <rPr>
        <b/>
        <sz val="10"/>
        <rFont val="Arial"/>
        <family val="2"/>
      </rPr>
      <t>F</t>
    </r>
  </si>
  <si>
    <t>The duct burners do not operate during startup.</t>
  </si>
  <si>
    <t>Turbine Uncontrolled Emissions During Startup (lb/hour)</t>
  </si>
  <si>
    <t>Minimum Compliance Load</t>
  </si>
  <si>
    <t>Assumed for all turbine-only hours</t>
  </si>
  <si>
    <r>
      <t>CO</t>
    </r>
    <r>
      <rPr>
        <b/>
        <vertAlign val="subscript"/>
        <sz val="10"/>
        <rFont val="Arial"/>
        <family val="2"/>
      </rPr>
      <t>2</t>
    </r>
    <r>
      <rPr>
        <b/>
        <sz val="10"/>
        <rFont val="Arial"/>
        <family val="2"/>
      </rPr>
      <t>e</t>
    </r>
  </si>
  <si>
    <t>Normal Operation without Duct Firing - Minimum Compliance Load</t>
  </si>
  <si>
    <r>
      <t>CO</t>
    </r>
    <r>
      <rPr>
        <b/>
        <vertAlign val="subscript"/>
        <sz val="10"/>
        <rFont val="Arial"/>
        <family val="2"/>
      </rPr>
      <t>2</t>
    </r>
    <r>
      <rPr>
        <b/>
        <sz val="10"/>
        <rFont val="Arial"/>
        <family val="2"/>
      </rPr>
      <t>e Emissions per Piece of Equipment (tons/year)</t>
    </r>
  </si>
  <si>
    <r>
      <t>Circuit Breakers Containing SF</t>
    </r>
    <r>
      <rPr>
        <vertAlign val="subscript"/>
        <sz val="10"/>
        <rFont val="Arial"/>
        <family val="2"/>
      </rPr>
      <t>6</t>
    </r>
  </si>
  <si>
    <t>Per Circuit Breaker</t>
  </si>
  <si>
    <t>Turbines and Duct Burner</t>
  </si>
  <si>
    <t>Shutdown Duration</t>
  </si>
  <si>
    <t>hours/shutdown</t>
  </si>
  <si>
    <t>shutdowns/year</t>
  </si>
  <si>
    <t>hours shutdown/year</t>
  </si>
  <si>
    <t>Heat Input, mmBtu/hour HHV - Each Turbine</t>
  </si>
  <si>
    <t>Total Emissions from Cold Starts</t>
  </si>
  <si>
    <t>Use Minimum Compliance Load Data</t>
  </si>
  <si>
    <t>Number of Turbines Undergoing Shutdown during 24 hours period =</t>
  </si>
  <si>
    <t>Hours in Shutdown for Each Turbine during 24 hour period =</t>
  </si>
  <si>
    <t>Total Emissions for Shutdown</t>
  </si>
  <si>
    <r>
      <t>Emissions from normal operation</t>
    </r>
    <r>
      <rPr>
        <vertAlign val="superscript"/>
        <sz val="10"/>
        <rFont val="Arial"/>
        <family val="2"/>
      </rPr>
      <t>b</t>
    </r>
  </si>
  <si>
    <r>
      <t>b</t>
    </r>
    <r>
      <rPr>
        <sz val="10"/>
        <rFont val="Arial"/>
        <family val="2"/>
      </rPr>
      <t>Includes duct burner emissions.</t>
    </r>
  </si>
  <si>
    <r>
      <t>PM</t>
    </r>
    <r>
      <rPr>
        <b/>
        <vertAlign val="subscript"/>
        <sz val="10"/>
        <rFont val="Arial"/>
        <family val="2"/>
      </rPr>
      <t>10</t>
    </r>
    <r>
      <rPr>
        <b/>
        <vertAlign val="superscript"/>
        <sz val="10"/>
        <rFont val="Arial"/>
        <family val="2"/>
      </rPr>
      <t>a</t>
    </r>
  </si>
  <si>
    <t>Emission Rates - Hot Starts (lb/hour/turbine)</t>
  </si>
  <si>
    <t>Hot Starts - &lt;8 hours shutdown</t>
  </si>
  <si>
    <t>Warm Starts - 8 to 72 hours shutdown</t>
  </si>
  <si>
    <t>Cold Starts - &gt;72 hours shutdown</t>
  </si>
  <si>
    <t>Duration (minutes)</t>
  </si>
  <si>
    <t>Hours in Shutdown =</t>
  </si>
  <si>
    <t>Startup Hours =</t>
  </si>
  <si>
    <t>The following uncontrolled emission rates are from spreadsheet:  "Bowie_7FA04_Cycle_Emissions_Fill_in_Table Kiewit Revisions 6-19-13", Kiewit Power Engineers CO.</t>
  </si>
  <si>
    <t>Annual Shutdown Emissions</t>
  </si>
  <si>
    <t>Uncontrolled (tons/year)</t>
  </si>
  <si>
    <t>Cold Startup</t>
  </si>
  <si>
    <t>Use Cold Start Data</t>
  </si>
  <si>
    <r>
      <rPr>
        <vertAlign val="superscript"/>
        <sz val="10"/>
        <rFont val="Arial"/>
        <family val="2"/>
      </rPr>
      <t>a</t>
    </r>
    <r>
      <rPr>
        <sz val="10"/>
        <rFont val="Arial"/>
        <family val="2"/>
      </rPr>
      <t>Startup and shutdown emissions from SO</t>
    </r>
    <r>
      <rPr>
        <vertAlign val="subscript"/>
        <sz val="10"/>
        <rFont val="Arial"/>
        <family val="2"/>
      </rPr>
      <t>2</t>
    </r>
    <r>
      <rPr>
        <sz val="10"/>
        <rFont val="Arial"/>
        <family val="2"/>
      </rPr>
      <t xml:space="preserve"> and PM</t>
    </r>
    <r>
      <rPr>
        <vertAlign val="subscript"/>
        <sz val="10"/>
        <rFont val="Arial"/>
        <family val="2"/>
      </rPr>
      <t>10</t>
    </r>
    <r>
      <rPr>
        <sz val="10"/>
        <rFont val="Arial"/>
        <family val="2"/>
      </rPr>
      <t xml:space="preserve"> are assumed to be equivalent to the maximum turbine only (no duct firing) normal operation emissions</t>
    </r>
  </si>
  <si>
    <r>
      <t>SO</t>
    </r>
    <r>
      <rPr>
        <b/>
        <vertAlign val="subscript"/>
        <sz val="10"/>
        <rFont val="Arial"/>
        <family val="2"/>
      </rPr>
      <t>2</t>
    </r>
    <r>
      <rPr>
        <b/>
        <vertAlign val="superscript"/>
        <sz val="10"/>
        <rFont val="Arial"/>
        <family val="2"/>
      </rPr>
      <t>a</t>
    </r>
  </si>
  <si>
    <r>
      <t>NO</t>
    </r>
    <r>
      <rPr>
        <vertAlign val="subscript"/>
        <sz val="10"/>
        <rFont val="Arial"/>
        <family val="2"/>
      </rPr>
      <t>x</t>
    </r>
    <r>
      <rPr>
        <sz val="10"/>
        <rFont val="Arial"/>
        <family val="2"/>
      </rPr>
      <t>, CO, VOCs and SO</t>
    </r>
    <r>
      <rPr>
        <vertAlign val="subscript"/>
        <sz val="10"/>
        <rFont val="Arial"/>
        <family val="2"/>
      </rPr>
      <t>2</t>
    </r>
    <r>
      <rPr>
        <sz val="10"/>
        <rFont val="Arial"/>
        <family val="2"/>
      </rPr>
      <t xml:space="preserve"> - provided by Kiewit Power Engineers Co. based on Gatecycle Modeling</t>
    </r>
  </si>
  <si>
    <r>
      <t>NO</t>
    </r>
    <r>
      <rPr>
        <vertAlign val="subscript"/>
        <sz val="10"/>
        <rFont val="Arial"/>
        <family val="2"/>
      </rPr>
      <t>x</t>
    </r>
    <r>
      <rPr>
        <sz val="10"/>
        <rFont val="Arial"/>
        <family val="2"/>
      </rPr>
      <t xml:space="preserve">, CO, VOCs </t>
    </r>
    <r>
      <rPr>
        <sz val="10"/>
        <rFont val="Arial"/>
        <family val="2"/>
      </rPr>
      <t xml:space="preserve"> - values from Kiewit Power Engineers Co.</t>
    </r>
  </si>
  <si>
    <r>
      <t>SO</t>
    </r>
    <r>
      <rPr>
        <vertAlign val="subscript"/>
        <sz val="10"/>
        <rFont val="Arial"/>
        <family val="2"/>
      </rPr>
      <t>2</t>
    </r>
    <r>
      <rPr>
        <sz val="10"/>
        <rFont val="Arial"/>
        <family val="2"/>
      </rPr>
      <t xml:space="preserve"> and </t>
    </r>
    <r>
      <rPr>
        <sz val="10"/>
        <rFont val="Arial"/>
        <family val="2"/>
      </rPr>
      <t>PM/PM</t>
    </r>
    <r>
      <rPr>
        <vertAlign val="subscript"/>
        <sz val="10"/>
        <rFont val="Arial"/>
        <family val="2"/>
      </rPr>
      <t>10</t>
    </r>
    <r>
      <rPr>
        <sz val="10"/>
        <rFont val="Arial"/>
        <family val="2"/>
      </rPr>
      <t>/PM</t>
    </r>
    <r>
      <rPr>
        <vertAlign val="subscript"/>
        <sz val="10"/>
        <rFont val="Arial"/>
        <family val="2"/>
      </rPr>
      <t xml:space="preserve">2.5 </t>
    </r>
    <r>
      <rPr>
        <sz val="10"/>
        <rFont val="Arial"/>
        <family val="2"/>
      </rPr>
      <t>- Assume same as normal operations</t>
    </r>
  </si>
  <si>
    <t>mmBtu/hour (HHV) both</t>
  </si>
  <si>
    <t>mmBtu/hour (HHV) each</t>
  </si>
  <si>
    <t>gallons/min max cooling tower blowdown</t>
  </si>
  <si>
    <t>gallons/min stormwater</t>
  </si>
  <si>
    <t>Maximum cooling tower blowdown + stormwater</t>
  </si>
  <si>
    <r>
      <t>Duct Burners
PM/PM</t>
    </r>
    <r>
      <rPr>
        <b/>
        <vertAlign val="subscript"/>
        <sz val="10"/>
        <rFont val="Arial"/>
        <family val="2"/>
      </rPr>
      <t>10</t>
    </r>
    <r>
      <rPr>
        <b/>
        <sz val="10"/>
        <rFont val="Arial"/>
        <family val="2"/>
      </rPr>
      <t>/PM</t>
    </r>
    <r>
      <rPr>
        <b/>
        <vertAlign val="subscript"/>
        <sz val="10"/>
        <rFont val="Arial"/>
        <family val="2"/>
      </rPr>
      <t xml:space="preserve">2.5 </t>
    </r>
    <r>
      <rPr>
        <b/>
        <sz val="10"/>
        <rFont val="Arial"/>
        <family val="2"/>
      </rPr>
      <t>(front and back half)</t>
    </r>
  </si>
  <si>
    <t>BOWIE POWER STATION
TURBINE AND DUCT BURNER HOURLY EMISSION RATES</t>
  </si>
  <si>
    <t>Maximum Emissions for Hour with Shutdown (lb/hour)</t>
  </si>
  <si>
    <t>Maximum Normal Operations Emissions (lb/hour)</t>
  </si>
  <si>
    <t>Condition for Hour with Maximum Emissions</t>
  </si>
  <si>
    <t>For modeling purposes determine maximum emissions in an hour</t>
  </si>
  <si>
    <t>Maximum Emissions for Hour with a Startup (lb/hour)</t>
  </si>
  <si>
    <r>
      <t>PM/PM</t>
    </r>
    <r>
      <rPr>
        <vertAlign val="subscript"/>
        <sz val="10"/>
        <rFont val="Arial"/>
        <family val="2"/>
      </rPr>
      <t>10</t>
    </r>
    <r>
      <rPr>
        <sz val="10"/>
        <rFont val="Arial"/>
        <family val="2"/>
      </rPr>
      <t>/PM</t>
    </r>
    <r>
      <rPr>
        <vertAlign val="subscript"/>
        <sz val="10"/>
        <rFont val="Arial"/>
        <family val="2"/>
      </rPr>
      <t>2.5</t>
    </r>
    <r>
      <rPr>
        <sz val="10"/>
        <rFont val="Arial"/>
        <family val="2"/>
      </rPr>
      <t xml:space="preserve"> - based on sulfur content of fuel, source testing of similar units, and the results of the best available control technology analysis</t>
    </r>
  </si>
  <si>
    <t>Conservatively assume no HAP control during startup or shutdown</t>
  </si>
  <si>
    <t>Hours per Year in Shutdown =</t>
  </si>
  <si>
    <t xml:space="preserve">Operating Hours per Year in Startup or Shutdown = </t>
  </si>
  <si>
    <r>
      <t>1</t>
    </r>
    <r>
      <rPr>
        <sz val="10"/>
        <rFont val="Arial"/>
        <family val="2"/>
      </rPr>
      <t>Emission factors are from AP-42 Section 1.4 "Natural Gas Combustion", Tables 1.4-2 (lead),-3 (organics), and -4 (metals), July 1998</t>
    </r>
  </si>
  <si>
    <r>
      <t>2</t>
    </r>
    <r>
      <rPr>
        <sz val="10"/>
        <rFont val="Arial"/>
        <family val="2"/>
      </rPr>
      <t>Organic pollutant emissions are controlled by the oxidation catalysts.  Lead and metal pollutant emissions (arsenic, cadmium, chromium, cobalt, lead, manganese, mercury, and nickel) are uncontrolled.</t>
    </r>
  </si>
  <si>
    <t>Turbine and duct burner lb/hour emission values are needed to complete the application forms.</t>
  </si>
  <si>
    <t>Oxidation catalysts provide control for only a portion of each startup sequence.  It has been assumed that shutdown emissions are uncontrolled.  As a conservative assumption, turbine uncontrolled emissions will be reviewed.</t>
  </si>
  <si>
    <t>For organic HAP hourly emissions, determine whether turbine emissions during startup/shutdown or turbine and duct burner emissions during normal operations are greater.</t>
  </si>
  <si>
    <t>From Cummins sheet</t>
  </si>
  <si>
    <t>Diesel sulfur content required by 40 CFR Subpart IIII 60.4207(b) which refers to 80.510(b)</t>
  </si>
  <si>
    <t>Diesel BTU content from AP-42, Appendix A, Page A-5</t>
  </si>
  <si>
    <r>
      <t>NO</t>
    </r>
    <r>
      <rPr>
        <b/>
        <vertAlign val="subscript"/>
        <sz val="10"/>
        <rFont val="Arial"/>
        <family val="2"/>
      </rPr>
      <t xml:space="preserve">x </t>
    </r>
    <r>
      <rPr>
        <b/>
        <sz val="10"/>
        <rFont val="Arial"/>
        <family val="2"/>
      </rPr>
      <t>(uncontrolled)</t>
    </r>
  </si>
  <si>
    <r>
      <t>Blowdown Concentrations</t>
    </r>
    <r>
      <rPr>
        <b/>
        <vertAlign val="superscript"/>
        <sz val="10"/>
        <rFont val="Arial"/>
        <family val="2"/>
      </rPr>
      <t>a</t>
    </r>
    <r>
      <rPr>
        <b/>
        <sz val="10"/>
        <rFont val="Arial"/>
        <family val="2"/>
      </rPr>
      <t xml:space="preserve"> </t>
    </r>
  </si>
  <si>
    <r>
      <rPr>
        <vertAlign val="superscript"/>
        <sz val="10"/>
        <rFont val="Arial"/>
        <family val="2"/>
      </rPr>
      <t>a</t>
    </r>
    <r>
      <rPr>
        <sz val="10"/>
        <rFont val="Arial"/>
        <family val="2"/>
      </rPr>
      <t>Provided in "Water Balance Flow Values</t>
    </r>
    <r>
      <rPr>
        <vertAlign val="superscript"/>
        <sz val="10"/>
        <rFont val="Arial"/>
        <family val="2"/>
      </rPr>
      <t>"</t>
    </r>
    <r>
      <rPr>
        <sz val="10"/>
        <rFont val="Arial"/>
        <family val="2"/>
      </rPr>
      <t>, Kiewit Power Engineers</t>
    </r>
  </si>
  <si>
    <t>Annual Criteria Pollutant Emissions  - Per Piece of Equipment</t>
  </si>
  <si>
    <t>Annual Criteria Pollutant Emissions  - Per Equipment Type</t>
  </si>
  <si>
    <t>Emission Rates - Hot Starts (lb/event/turbine)</t>
  </si>
  <si>
    <r>
      <t>Emission Rates - Warm Starts (lb/hour/turbine)</t>
    </r>
    <r>
      <rPr>
        <vertAlign val="superscript"/>
        <sz val="10"/>
        <rFont val="Arial"/>
        <family val="2"/>
      </rPr>
      <t>a</t>
    </r>
  </si>
  <si>
    <r>
      <t>Emission Rates - Cold Starts (lb/hour/turbine)</t>
    </r>
    <r>
      <rPr>
        <vertAlign val="superscript"/>
        <sz val="10"/>
        <rFont val="Arial"/>
        <family val="2"/>
      </rPr>
      <t>a</t>
    </r>
  </si>
  <si>
    <r>
      <rPr>
        <vertAlign val="superscript"/>
        <sz val="10"/>
        <rFont val="Arial"/>
        <family val="2"/>
      </rPr>
      <t>a</t>
    </r>
    <r>
      <rPr>
        <sz val="10"/>
        <rFont val="Arial"/>
        <family val="2"/>
      </rPr>
      <t>As warm and cold starts last 60 minutes, lb/hour emissions and emissions on a lb/event/basis are equivalent.</t>
    </r>
  </si>
  <si>
    <t>Total Controlled Emissions with Normal Operations Followed by Turbine Shutdown
(lbs in one hour)</t>
  </si>
  <si>
    <t xml:space="preserve">Auxiliary Boiler </t>
  </si>
  <si>
    <t>2 shutdowns each turbine</t>
  </si>
  <si>
    <t>3 hot starts each turbine</t>
  </si>
  <si>
    <t>Three Hot Starts, Two Shutdowns + Turbine Operation at Minimum Compliance Load</t>
  </si>
  <si>
    <t>Three Hot Starts</t>
  </si>
  <si>
    <t>Two Shutdowns</t>
  </si>
  <si>
    <r>
      <t>Hot Start - 10</t>
    </r>
    <r>
      <rPr>
        <vertAlign val="superscript"/>
        <sz val="10"/>
        <rFont val="Arial"/>
        <family val="2"/>
      </rPr>
      <t>o</t>
    </r>
    <r>
      <rPr>
        <sz val="10"/>
        <rFont val="Arial"/>
        <family val="2"/>
      </rPr>
      <t>F ambient used for months with average minimum temperature below freezing (December, January)</t>
    </r>
  </si>
  <si>
    <r>
      <t>Conservatively use Hot Start 10</t>
    </r>
    <r>
      <rPr>
        <vertAlign val="superscript"/>
        <sz val="10"/>
        <rFont val="Arial"/>
        <family val="2"/>
      </rPr>
      <t>o</t>
    </r>
    <r>
      <rPr>
        <sz val="10"/>
        <rFont val="Arial"/>
        <family val="2"/>
      </rPr>
      <t>F</t>
    </r>
  </si>
  <si>
    <t>Emergency Fire Pump - 3-hour only</t>
  </si>
  <si>
    <t>24-hour
(Scenario 1)</t>
  </si>
  <si>
    <t>24-hour
(Scenario 2)</t>
  </si>
  <si>
    <r>
      <t>Normal Operation - 10</t>
    </r>
    <r>
      <rPr>
        <vertAlign val="superscript"/>
        <sz val="10"/>
        <rFont val="Arial"/>
        <family val="2"/>
      </rPr>
      <t>o</t>
    </r>
    <r>
      <rPr>
        <sz val="10"/>
        <rFont val="Arial"/>
        <family val="2"/>
      </rPr>
      <t>F ambient, 100% load with duct firing used for months with average minimum temperature below freezing (December, January)</t>
    </r>
  </si>
  <si>
    <r>
      <t>Startup Stack Parameters - 10</t>
    </r>
    <r>
      <rPr>
        <vertAlign val="superscript"/>
        <sz val="10"/>
        <rFont val="Arial"/>
        <family val="2"/>
      </rPr>
      <t>o</t>
    </r>
    <r>
      <rPr>
        <sz val="10"/>
        <rFont val="Arial"/>
        <family val="2"/>
      </rPr>
      <t>F ambient used for months with average minimum temperature below freezing (December, January)</t>
    </r>
  </si>
  <si>
    <r>
      <t>Normal Operation - 100% load with duct firing, 10</t>
    </r>
    <r>
      <rPr>
        <vertAlign val="superscript"/>
        <sz val="10"/>
        <rFont val="Arial"/>
        <family val="2"/>
      </rPr>
      <t>o</t>
    </r>
    <r>
      <rPr>
        <sz val="10"/>
        <rFont val="Arial"/>
        <family val="2"/>
      </rPr>
      <t>F ambient used for months with average minimum temperature below freezing (December, January)</t>
    </r>
  </si>
  <si>
    <r>
      <t>Normal Operation - 100% load with duct firing, 59</t>
    </r>
    <r>
      <rPr>
        <vertAlign val="superscript"/>
        <sz val="10"/>
        <rFont val="Arial"/>
        <family val="2"/>
      </rPr>
      <t>o</t>
    </r>
    <r>
      <rPr>
        <sz val="10"/>
        <rFont val="Arial"/>
        <family val="2"/>
      </rPr>
      <t>F ambient used for months where 10</t>
    </r>
    <r>
      <rPr>
        <vertAlign val="superscript"/>
        <sz val="10"/>
        <rFont val="Arial"/>
        <family val="2"/>
      </rPr>
      <t>o</t>
    </r>
    <r>
      <rPr>
        <sz val="10"/>
        <rFont val="Arial"/>
        <family val="2"/>
      </rPr>
      <t>F or 102</t>
    </r>
    <r>
      <rPr>
        <vertAlign val="superscript"/>
        <sz val="10"/>
        <rFont val="Arial"/>
        <family val="2"/>
      </rPr>
      <t>o</t>
    </r>
    <r>
      <rPr>
        <sz val="10"/>
        <rFont val="Arial"/>
        <family val="2"/>
      </rPr>
      <t>F not used (February, March, April, May, October, November)</t>
    </r>
  </si>
  <si>
    <r>
      <t>Startup - 10</t>
    </r>
    <r>
      <rPr>
        <vertAlign val="superscript"/>
        <sz val="10"/>
        <rFont val="Arial"/>
        <family val="2"/>
      </rPr>
      <t>o</t>
    </r>
    <r>
      <rPr>
        <sz val="10"/>
        <rFont val="Arial"/>
        <family val="2"/>
      </rPr>
      <t>F ambient used for months with average minimum temperature below freezing (December, January)</t>
    </r>
  </si>
  <si>
    <r>
      <t>Startup Stack Parameters - 10</t>
    </r>
    <r>
      <rPr>
        <vertAlign val="superscript"/>
        <sz val="10"/>
        <rFont val="Arial"/>
        <family val="2"/>
      </rPr>
      <t>o</t>
    </r>
    <r>
      <rPr>
        <sz val="10"/>
        <rFont val="Arial"/>
        <family val="2"/>
      </rPr>
      <t>F, used for months with average minimum temperature below freezing (December, January)</t>
    </r>
  </si>
  <si>
    <r>
      <t>Startup - 102</t>
    </r>
    <r>
      <rPr>
        <vertAlign val="superscript"/>
        <sz val="10"/>
        <rFont val="Arial"/>
        <family val="2"/>
      </rPr>
      <t>o</t>
    </r>
    <r>
      <rPr>
        <sz val="10"/>
        <rFont val="Arial"/>
        <family val="2"/>
      </rPr>
      <t>F ambient used for months with average maximum high over 90</t>
    </r>
    <r>
      <rPr>
        <vertAlign val="superscript"/>
        <sz val="10"/>
        <rFont val="Arial"/>
        <family val="2"/>
      </rPr>
      <t>o</t>
    </r>
    <r>
      <rPr>
        <sz val="10"/>
        <rFont val="Arial"/>
        <family val="2"/>
      </rPr>
      <t>F (June, July, August, September)</t>
    </r>
  </si>
  <si>
    <r>
      <t>Hot Start - 102</t>
    </r>
    <r>
      <rPr>
        <vertAlign val="superscript"/>
        <sz val="10"/>
        <rFont val="Arial"/>
        <family val="2"/>
      </rPr>
      <t>o</t>
    </r>
    <r>
      <rPr>
        <sz val="10"/>
        <rFont val="Arial"/>
        <family val="2"/>
      </rPr>
      <t>F ambient used for months with average maximum high over 90</t>
    </r>
    <r>
      <rPr>
        <vertAlign val="superscript"/>
        <sz val="10"/>
        <rFont val="Arial"/>
        <family val="2"/>
      </rPr>
      <t>o</t>
    </r>
    <r>
      <rPr>
        <sz val="10"/>
        <rFont val="Arial"/>
        <family val="2"/>
      </rPr>
      <t>F (June, July, August, September)</t>
    </r>
  </si>
  <si>
    <r>
      <t>Startup Stack Parameters - 59</t>
    </r>
    <r>
      <rPr>
        <vertAlign val="superscript"/>
        <sz val="10"/>
        <rFont val="Arial"/>
        <family val="2"/>
      </rPr>
      <t>o</t>
    </r>
    <r>
      <rPr>
        <sz val="10"/>
        <rFont val="Arial"/>
        <family val="2"/>
      </rPr>
      <t>F used for months where 10</t>
    </r>
    <r>
      <rPr>
        <vertAlign val="superscript"/>
        <sz val="10"/>
        <rFont val="Arial"/>
        <family val="2"/>
      </rPr>
      <t>o</t>
    </r>
    <r>
      <rPr>
        <sz val="10"/>
        <rFont val="Arial"/>
        <family val="2"/>
      </rPr>
      <t>F or 102</t>
    </r>
    <r>
      <rPr>
        <vertAlign val="superscript"/>
        <sz val="10"/>
        <rFont val="Arial"/>
        <family val="2"/>
      </rPr>
      <t>o</t>
    </r>
    <r>
      <rPr>
        <sz val="10"/>
        <rFont val="Arial"/>
        <family val="2"/>
      </rPr>
      <t>F not used (February, March, April, May, October, November)</t>
    </r>
  </si>
  <si>
    <r>
      <t>Startup Stack Parameters - 59</t>
    </r>
    <r>
      <rPr>
        <vertAlign val="superscript"/>
        <sz val="10"/>
        <rFont val="Arial"/>
        <family val="2"/>
      </rPr>
      <t>o</t>
    </r>
    <r>
      <rPr>
        <sz val="10"/>
        <rFont val="Arial"/>
        <family val="2"/>
      </rPr>
      <t>F ambient used for months where 10</t>
    </r>
    <r>
      <rPr>
        <vertAlign val="superscript"/>
        <sz val="10"/>
        <rFont val="Arial"/>
        <family val="2"/>
      </rPr>
      <t>o</t>
    </r>
    <r>
      <rPr>
        <sz val="10"/>
        <rFont val="Arial"/>
        <family val="2"/>
      </rPr>
      <t>F or 102</t>
    </r>
    <r>
      <rPr>
        <vertAlign val="superscript"/>
        <sz val="10"/>
        <rFont val="Arial"/>
        <family val="2"/>
      </rPr>
      <t>o</t>
    </r>
    <r>
      <rPr>
        <sz val="10"/>
        <rFont val="Arial"/>
        <family val="2"/>
      </rPr>
      <t>F not used (February, March, April, May, October, November)</t>
    </r>
  </si>
  <si>
    <r>
      <t>Startup Stack Parameters - 102</t>
    </r>
    <r>
      <rPr>
        <vertAlign val="superscript"/>
        <sz val="10"/>
        <rFont val="Arial"/>
        <family val="2"/>
      </rPr>
      <t>o</t>
    </r>
    <r>
      <rPr>
        <sz val="10"/>
        <rFont val="Arial"/>
        <family val="2"/>
      </rPr>
      <t>F ambient used for months with average maximum high over 90</t>
    </r>
    <r>
      <rPr>
        <vertAlign val="superscript"/>
        <sz val="10"/>
        <rFont val="Arial"/>
        <family val="2"/>
      </rPr>
      <t>o</t>
    </r>
    <r>
      <rPr>
        <sz val="10"/>
        <rFont val="Arial"/>
        <family val="2"/>
      </rPr>
      <t>F (June, July, August, September)</t>
    </r>
  </si>
  <si>
    <r>
      <t>Hot Start - 59</t>
    </r>
    <r>
      <rPr>
        <vertAlign val="superscript"/>
        <sz val="10"/>
        <rFont val="Arial"/>
        <family val="2"/>
      </rPr>
      <t>o</t>
    </r>
    <r>
      <rPr>
        <sz val="10"/>
        <rFont val="Arial"/>
        <family val="2"/>
      </rPr>
      <t>F ambient used for months where 10</t>
    </r>
    <r>
      <rPr>
        <vertAlign val="superscript"/>
        <sz val="10"/>
        <rFont val="Arial"/>
        <family val="2"/>
      </rPr>
      <t>o</t>
    </r>
    <r>
      <rPr>
        <sz val="10"/>
        <rFont val="Arial"/>
        <family val="2"/>
      </rPr>
      <t>F or 102</t>
    </r>
    <r>
      <rPr>
        <vertAlign val="superscript"/>
        <sz val="10"/>
        <rFont val="Arial"/>
        <family val="2"/>
      </rPr>
      <t>o</t>
    </r>
    <r>
      <rPr>
        <sz val="10"/>
        <rFont val="Arial"/>
        <family val="2"/>
      </rPr>
      <t>F not used (February, March, April, May, October, November)</t>
    </r>
  </si>
  <si>
    <r>
      <t>Normal Operation - 100% load with duct firing, 102</t>
    </r>
    <r>
      <rPr>
        <vertAlign val="superscript"/>
        <sz val="10"/>
        <rFont val="Arial"/>
        <family val="2"/>
      </rPr>
      <t>o</t>
    </r>
    <r>
      <rPr>
        <sz val="10"/>
        <rFont val="Arial"/>
        <family val="2"/>
      </rPr>
      <t>F ambient used for months with average maximum high over 90</t>
    </r>
    <r>
      <rPr>
        <vertAlign val="superscript"/>
        <sz val="10"/>
        <rFont val="Arial"/>
        <family val="2"/>
      </rPr>
      <t>o</t>
    </r>
    <r>
      <rPr>
        <sz val="10"/>
        <rFont val="Arial"/>
        <family val="2"/>
      </rPr>
      <t>F (June, July, August, September)</t>
    </r>
  </si>
  <si>
    <r>
      <t>Startup - 59</t>
    </r>
    <r>
      <rPr>
        <vertAlign val="superscript"/>
        <sz val="10"/>
        <rFont val="Arial"/>
        <family val="2"/>
      </rPr>
      <t>o</t>
    </r>
    <r>
      <rPr>
        <sz val="10"/>
        <rFont val="Arial"/>
        <family val="2"/>
      </rPr>
      <t>F ambient used for months where 10</t>
    </r>
    <r>
      <rPr>
        <vertAlign val="superscript"/>
        <sz val="10"/>
        <rFont val="Arial"/>
        <family val="2"/>
      </rPr>
      <t>o</t>
    </r>
    <r>
      <rPr>
        <sz val="10"/>
        <rFont val="Arial"/>
        <family val="2"/>
      </rPr>
      <t>F or 102</t>
    </r>
    <r>
      <rPr>
        <vertAlign val="superscript"/>
        <sz val="10"/>
        <rFont val="Arial"/>
        <family val="2"/>
      </rPr>
      <t>o</t>
    </r>
    <r>
      <rPr>
        <sz val="10"/>
        <rFont val="Arial"/>
        <family val="2"/>
      </rPr>
      <t>F not used (February, March, April, May, October, November)</t>
    </r>
  </si>
  <si>
    <r>
      <t>Startup Stack Parameters - 102</t>
    </r>
    <r>
      <rPr>
        <vertAlign val="superscript"/>
        <sz val="10"/>
        <rFont val="Arial"/>
        <family val="2"/>
      </rPr>
      <t>o</t>
    </r>
    <r>
      <rPr>
        <sz val="10"/>
        <rFont val="Arial"/>
        <family val="2"/>
      </rPr>
      <t>F used for months with average maximum high over 90</t>
    </r>
    <r>
      <rPr>
        <vertAlign val="superscript"/>
        <sz val="10"/>
        <rFont val="Arial"/>
        <family val="2"/>
      </rPr>
      <t>o</t>
    </r>
    <r>
      <rPr>
        <sz val="10"/>
        <rFont val="Arial"/>
        <family val="2"/>
      </rPr>
      <t>F (June, July, August, September)</t>
    </r>
  </si>
  <si>
    <r>
      <t>Normal Operation - Minimum Compliance Load 10</t>
    </r>
    <r>
      <rPr>
        <vertAlign val="superscript"/>
        <sz val="10"/>
        <rFont val="Arial"/>
        <family val="2"/>
      </rPr>
      <t>o</t>
    </r>
    <r>
      <rPr>
        <sz val="10"/>
        <rFont val="Arial"/>
        <family val="2"/>
      </rPr>
      <t>F ambient used for months with average minimum temperature below freezing (December, January)</t>
    </r>
  </si>
  <si>
    <r>
      <t>Normal Operation - Minimum Compliance Load 59</t>
    </r>
    <r>
      <rPr>
        <vertAlign val="superscript"/>
        <sz val="10"/>
        <rFont val="Arial"/>
        <family val="2"/>
      </rPr>
      <t>o</t>
    </r>
    <r>
      <rPr>
        <sz val="10"/>
        <rFont val="Arial"/>
        <family val="2"/>
      </rPr>
      <t>F ambient used for months where 10oF or 102oF not used (February, March, April, May, October, November)</t>
    </r>
  </si>
  <si>
    <r>
      <t>Normal Operation - Minimum Compliance Load 102</t>
    </r>
    <r>
      <rPr>
        <vertAlign val="superscript"/>
        <sz val="10"/>
        <rFont val="Arial"/>
        <family val="2"/>
      </rPr>
      <t>o</t>
    </r>
    <r>
      <rPr>
        <sz val="10"/>
        <rFont val="Arial"/>
        <family val="2"/>
      </rPr>
      <t>F ambient used for months with average maximum high over 90oF (June, July, August, September)</t>
    </r>
  </si>
  <si>
    <t>Normal Operation - Minimum Compliance Load 102oF ambient used for months with average maximum high over 90oF (June, July, August, September)</t>
  </si>
  <si>
    <r>
      <t>Normal Operation - 102</t>
    </r>
    <r>
      <rPr>
        <vertAlign val="superscript"/>
        <sz val="10"/>
        <rFont val="Arial"/>
        <family val="2"/>
      </rPr>
      <t>o</t>
    </r>
    <r>
      <rPr>
        <sz val="10"/>
        <rFont val="Arial"/>
        <family val="2"/>
      </rPr>
      <t>F ambient, 100% load with duct firing used for months with average maximum high over 90oF (June, July, August, September)</t>
    </r>
  </si>
  <si>
    <r>
      <t>Normal Operation - 59</t>
    </r>
    <r>
      <rPr>
        <vertAlign val="superscript"/>
        <sz val="10"/>
        <rFont val="Arial"/>
        <family val="2"/>
      </rPr>
      <t>o</t>
    </r>
    <r>
      <rPr>
        <sz val="10"/>
        <rFont val="Arial"/>
        <family val="2"/>
      </rPr>
      <t>F ambient, 100% load with duct firing used for months where 10oF or 102oF not used (February, March, April, May, October, November)</t>
    </r>
  </si>
  <si>
    <t>24-hour 
(Scenario 2)</t>
  </si>
  <si>
    <r>
      <t>Weighted average stack parameters at 59</t>
    </r>
    <r>
      <rPr>
        <vertAlign val="superscript"/>
        <sz val="10"/>
        <rFont val="Arial"/>
        <family val="2"/>
      </rPr>
      <t>o</t>
    </r>
    <r>
      <rPr>
        <sz val="10"/>
        <rFont val="Arial"/>
        <family val="2"/>
      </rPr>
      <t>F ambient</t>
    </r>
  </si>
  <si>
    <r>
      <t>Weighted average stack parameters 59</t>
    </r>
    <r>
      <rPr>
        <vertAlign val="superscript"/>
        <sz val="10"/>
        <rFont val="Arial"/>
        <family val="2"/>
      </rPr>
      <t>o</t>
    </r>
    <r>
      <rPr>
        <sz val="10"/>
        <rFont val="Arial"/>
        <family val="2"/>
      </rPr>
      <t>F ambient</t>
    </r>
  </si>
  <si>
    <r>
      <t>Weighted average stack parameters 59</t>
    </r>
    <r>
      <rPr>
        <vertAlign val="superscript"/>
        <sz val="10"/>
        <rFont val="Arial"/>
        <family val="2"/>
      </rPr>
      <t>o</t>
    </r>
    <r>
      <rPr>
        <sz val="10"/>
        <rFont val="Arial"/>
        <family val="2"/>
      </rPr>
      <t>F</t>
    </r>
  </si>
  <si>
    <r>
      <t>Weighted average stack parameters 59</t>
    </r>
    <r>
      <rPr>
        <vertAlign val="superscript"/>
        <sz val="10"/>
        <rFont val="Arial"/>
        <family val="2"/>
      </rPr>
      <t>o</t>
    </r>
    <r>
      <rPr>
        <sz val="10"/>
        <rFont val="Arial"/>
        <family val="2"/>
      </rPr>
      <t>F</t>
    </r>
  </si>
  <si>
    <r>
      <t>Weighted average stack parameters at minimum compliance load 59</t>
    </r>
    <r>
      <rPr>
        <vertAlign val="superscript"/>
        <sz val="10"/>
        <rFont val="Arial"/>
        <family val="2"/>
      </rPr>
      <t>o</t>
    </r>
    <r>
      <rPr>
        <sz val="10"/>
        <rFont val="Arial"/>
        <family val="2"/>
      </rPr>
      <t>F ambient</t>
    </r>
  </si>
  <si>
    <t>Delete after confirming modeling scenarios</t>
  </si>
  <si>
    <t>BOWIE STATION
24-HOUR VISIBILITY MODELING SCENARIO EMISSIONS</t>
  </si>
  <si>
    <t>1-hour and
3-hour
(Scenario 1)</t>
  </si>
  <si>
    <t>1-hour and
3-hour
(Scenario 2)</t>
  </si>
  <si>
    <t>1-hour and
3-hour
(Scenario 3)</t>
  </si>
  <si>
    <r>
      <t>Each turbine - 3 hot starts, 2 shutdowns, remaining hours normal operation maximum emission rate of 100% load with duct firing, all 10</t>
    </r>
    <r>
      <rPr>
        <vertAlign val="superscript"/>
        <sz val="10"/>
        <rFont val="Arial"/>
        <family val="2"/>
      </rPr>
      <t>o</t>
    </r>
    <r>
      <rPr>
        <sz val="10"/>
        <rFont val="Arial"/>
        <family val="2"/>
      </rPr>
      <t>F ambient</t>
    </r>
  </si>
  <si>
    <t>Each turbine - 3 hot starts, 2 shutdowns, remaining hours normal operation maximum emission rate of 100% load with duct firing, emissions assumed to be the same at all temperatures</t>
  </si>
  <si>
    <r>
      <t>Worst-case Stack Parameters - 59</t>
    </r>
    <r>
      <rPr>
        <vertAlign val="superscript"/>
        <sz val="10"/>
        <rFont val="Arial"/>
        <family val="2"/>
      </rPr>
      <t>o</t>
    </r>
    <r>
      <rPr>
        <sz val="10"/>
        <rFont val="Arial"/>
        <family val="2"/>
      </rPr>
      <t>F ambient, minimum compliance load</t>
    </r>
  </si>
  <si>
    <t>1-hour and      8-hour</t>
  </si>
  <si>
    <t>Emission Rate (g/sec)</t>
  </si>
  <si>
    <r>
      <t>Secondary PM</t>
    </r>
    <r>
      <rPr>
        <vertAlign val="subscript"/>
        <sz val="10"/>
        <rFont val="Arial"/>
        <family val="2"/>
      </rPr>
      <t>2.5</t>
    </r>
    <r>
      <rPr>
        <sz val="10"/>
        <rFont val="Arial"/>
        <family val="2"/>
      </rPr>
      <t xml:space="preserve"> Impacts</t>
    </r>
  </si>
  <si>
    <r>
      <t>NO</t>
    </r>
    <r>
      <rPr>
        <vertAlign val="subscript"/>
        <sz val="10"/>
        <rFont val="Arial"/>
        <family val="2"/>
      </rPr>
      <t>x</t>
    </r>
    <r>
      <rPr>
        <sz val="10"/>
        <rFont val="Arial"/>
        <family val="2"/>
      </rPr>
      <t xml:space="preserve"> (continued)</t>
    </r>
  </si>
  <si>
    <r>
      <t>SO</t>
    </r>
    <r>
      <rPr>
        <vertAlign val="subscript"/>
        <sz val="10"/>
        <rFont val="Arial"/>
        <family val="2"/>
      </rPr>
      <t>2</t>
    </r>
    <r>
      <rPr>
        <sz val="10"/>
        <rFont val="Arial"/>
        <family val="2"/>
      </rPr>
      <t xml:space="preserve"> (continued)</t>
    </r>
  </si>
  <si>
    <t>SO2 (continued)</t>
  </si>
  <si>
    <r>
      <t>PM</t>
    </r>
    <r>
      <rPr>
        <vertAlign val="subscript"/>
        <sz val="10"/>
        <rFont val="Arial"/>
        <family val="2"/>
      </rPr>
      <t>10</t>
    </r>
    <r>
      <rPr>
        <sz val="10"/>
        <rFont val="Arial"/>
        <family val="2"/>
      </rPr>
      <t xml:space="preserve"> (continued)</t>
    </r>
  </si>
  <si>
    <r>
      <t>PM</t>
    </r>
    <r>
      <rPr>
        <vertAlign val="subscript"/>
        <sz val="10"/>
        <rFont val="Arial"/>
        <family val="2"/>
      </rPr>
      <t>2.5</t>
    </r>
    <r>
      <rPr>
        <sz val="10"/>
        <rFont val="Arial"/>
        <family val="2"/>
      </rPr>
      <t xml:space="preserve"> (continued)</t>
    </r>
  </si>
  <si>
    <t>24-hour
(Scenario 2)
(Operating Scenario for Emissions and Stack Parameter Scenario match SO2 and PM2.5 scenario 2)</t>
  </si>
  <si>
    <r>
      <t>24-hour
(Scenario 1)
(Operating Scenario for Emissions and Stack Parameter Scenario match SO</t>
    </r>
    <r>
      <rPr>
        <vertAlign val="subscript"/>
        <sz val="10"/>
        <rFont val="Arial"/>
        <family val="2"/>
      </rPr>
      <t>2</t>
    </r>
    <r>
      <rPr>
        <sz val="10"/>
        <rFont val="Arial"/>
        <family val="2"/>
      </rPr>
      <t xml:space="preserve"> and PM</t>
    </r>
    <r>
      <rPr>
        <vertAlign val="subscript"/>
        <sz val="10"/>
        <rFont val="Arial"/>
        <family val="2"/>
      </rPr>
      <t>2.5</t>
    </r>
    <r>
      <rPr>
        <sz val="10"/>
        <rFont val="Arial"/>
        <family val="2"/>
      </rPr>
      <t xml:space="preserve"> scenario 1)</t>
    </r>
  </si>
  <si>
    <r>
      <t>Shutdown Controlled Emissions Per Turbine (lbs/shutdown)</t>
    </r>
    <r>
      <rPr>
        <vertAlign val="superscript"/>
        <sz val="10"/>
        <rFont val="Arial"/>
        <family val="2"/>
      </rPr>
      <t>a</t>
    </r>
  </si>
  <si>
    <r>
      <t>NO</t>
    </r>
    <r>
      <rPr>
        <vertAlign val="subscript"/>
        <sz val="10"/>
        <rFont val="Arial"/>
        <family val="2"/>
      </rPr>
      <t>x</t>
    </r>
    <r>
      <rPr>
        <vertAlign val="superscript"/>
        <sz val="10"/>
        <rFont val="Arial"/>
        <family val="2"/>
      </rPr>
      <t>a</t>
    </r>
  </si>
  <si>
    <r>
      <t>CO</t>
    </r>
    <r>
      <rPr>
        <vertAlign val="superscript"/>
        <sz val="10"/>
        <rFont val="Arial"/>
        <family val="2"/>
      </rPr>
      <t>a</t>
    </r>
  </si>
  <si>
    <r>
      <t>VOC</t>
    </r>
    <r>
      <rPr>
        <vertAlign val="superscript"/>
        <sz val="10"/>
        <rFont val="Arial"/>
        <family val="2"/>
      </rPr>
      <t>b</t>
    </r>
  </si>
  <si>
    <t>Shutdown Uncontrolled Emissions Per Turbine (lbs/shutdown)</t>
  </si>
  <si>
    <r>
      <t>Normal Operation Controlled Emissions Each Turbine (lb/hour)</t>
    </r>
    <r>
      <rPr>
        <vertAlign val="superscript"/>
        <sz val="10"/>
        <rFont val="Arial"/>
        <family val="2"/>
      </rPr>
      <t>c</t>
    </r>
  </si>
  <si>
    <r>
      <rPr>
        <vertAlign val="superscript"/>
        <sz val="10"/>
        <rFont val="Arial"/>
        <family val="2"/>
      </rPr>
      <t>c</t>
    </r>
    <r>
      <rPr>
        <sz val="10"/>
        <rFont val="Arial"/>
        <family val="2"/>
      </rPr>
      <t>Normal operation emissions includes duct burner emissions.</t>
    </r>
  </si>
  <si>
    <t>Controlled (tons/year)</t>
  </si>
  <si>
    <r>
      <t>Controllable NO</t>
    </r>
    <r>
      <rPr>
        <vertAlign val="subscript"/>
        <sz val="10"/>
        <rFont val="Arial"/>
        <family val="2"/>
      </rPr>
      <t>x</t>
    </r>
    <r>
      <rPr>
        <vertAlign val="superscript"/>
        <sz val="10"/>
        <rFont val="Arial"/>
        <family val="2"/>
      </rPr>
      <t>a</t>
    </r>
  </si>
  <si>
    <r>
      <t>Controllable CO</t>
    </r>
    <r>
      <rPr>
        <vertAlign val="superscript"/>
        <sz val="10"/>
        <rFont val="Arial"/>
        <family val="2"/>
      </rPr>
      <t>a</t>
    </r>
  </si>
  <si>
    <r>
      <t>Uncontrollable CO</t>
    </r>
    <r>
      <rPr>
        <vertAlign val="superscript"/>
        <sz val="10"/>
        <rFont val="Arial"/>
        <family val="2"/>
      </rPr>
      <t>a</t>
    </r>
  </si>
  <si>
    <r>
      <t>NO</t>
    </r>
    <r>
      <rPr>
        <vertAlign val="subscript"/>
        <sz val="10"/>
        <rFont val="Arial"/>
        <family val="2"/>
      </rPr>
      <t>x</t>
    </r>
    <r>
      <rPr>
        <vertAlign val="superscript"/>
        <sz val="10"/>
        <rFont val="Arial"/>
        <family val="2"/>
      </rPr>
      <t>a</t>
    </r>
    <r>
      <rPr>
        <vertAlign val="subscript"/>
        <sz val="8"/>
        <rFont val="Arial"/>
        <family val="2"/>
      </rPr>
      <t xml:space="preserve"> </t>
    </r>
  </si>
  <si>
    <r>
      <rPr>
        <vertAlign val="superscript"/>
        <sz val="10"/>
        <rFont val="Arial"/>
        <family val="2"/>
      </rPr>
      <t>b</t>
    </r>
    <r>
      <rPr>
        <sz val="10"/>
        <rFont val="Arial"/>
        <family val="2"/>
      </rPr>
      <t>Emissions from spreadsheet:  "Bowie_7FA04_Cycle_Emissions_Fill_in_Table Kiewit Revisions 6-19-13", Kiewit Power Engineers CO.  Controlled VOC emissions are not available, conservatively assume VOC shutdown emissions are uncontrolled.</t>
    </r>
  </si>
  <si>
    <r>
      <t>Uncontrollable NO</t>
    </r>
    <r>
      <rPr>
        <vertAlign val="subscript"/>
        <sz val="10"/>
        <rFont val="Arial"/>
        <family val="2"/>
      </rPr>
      <t>x</t>
    </r>
    <r>
      <rPr>
        <vertAlign val="superscript"/>
        <sz val="10"/>
        <rFont val="Arial"/>
        <family val="2"/>
      </rPr>
      <t>a</t>
    </r>
  </si>
  <si>
    <r>
      <rPr>
        <vertAlign val="superscript"/>
        <sz val="10"/>
        <rFont val="Arial"/>
        <family val="2"/>
      </rPr>
      <t>a</t>
    </r>
    <r>
      <rPr>
        <sz val="10"/>
        <rFont val="Arial"/>
        <family val="2"/>
      </rPr>
      <t>Emissions from spreadsheet:  "SUSD Emissions", Kiewit Power Engineers CO.  Controllable emissions are those that occur from minimum compliance load to full speed no load.  Uncontrollable emissions are those that occur from full speed no load to flameout.</t>
    </r>
  </si>
  <si>
    <t>Calculate emissions for an hour during which a shutdown event occurs.  Maximum emissions would occur when emissions during the hour were from normal operation followed by emissions from a shutdown event.</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</si>
</sst>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0.000%"/>
    <numFmt numFmtId="169" formatCode="0.000"/>
    <numFmt numFmtId="170" formatCode="0.0000"/>
    <numFmt numFmtId="171" formatCode="0.00000"/>
    <numFmt numFmtId="172" formatCode="_(* #,##0.000_);_(* \(#,##0.000\);_(* &quot;-&quot;??_);_(@_)"/>
    <numFmt numFmtId="173" formatCode="_(* #,##0.0000_);_(* \(#,##0.0000\);_(* &quot;-&quot;??_);_(@_)"/>
    <numFmt numFmtId="174" formatCode="_(* #,##0.000_);_(* \(#,##0.000\);_(* &quot;-&quot;???_);_(@_)"/>
    <numFmt numFmtId="175" formatCode="0.0000000"/>
    <numFmt numFmtId="176" formatCode="0.000000"/>
    <numFmt numFmtId="177" formatCode="0.00000000"/>
    <numFmt numFmtId="178" formatCode="_(* #,##0.0_);_(* \(#,##0.0\);_(* &quot;-&quot;?_);_(@_)"/>
    <numFmt numFmtId="179" formatCode="0.0E+00"/>
    <numFmt numFmtId="180" formatCode="0.0000%"/>
    <numFmt numFmtId="181" formatCode="#,##0.0"/>
    <numFmt numFmtId="182" formatCode="mmm\-yyyy"/>
    <numFmt numFmtId="183" formatCode="#,##0.000"/>
    <numFmt numFmtId="184" formatCode="0.0000E+00"/>
    <numFmt numFmtId="185" formatCode="0.000E+00"/>
    <numFmt numFmtId="186" formatCode="_(* #,##0.0000_);_(* \(#,##0.0000\);_(* &quot;-&quot;????_);_(@_)"/>
    <numFmt numFmtId="187" formatCode="#,##0.0000"/>
    <numFmt numFmtId="188" formatCode="#,##0.00000"/>
    <numFmt numFmtId="189" formatCode="#,##0.000000"/>
    <numFmt numFmtId="190" formatCode="0.E+00"/>
    <numFmt numFmtId="191" formatCode="0.0.E+00"/>
    <numFmt numFmtId="192" formatCode="0.00.E+00"/>
    <numFmt numFmtId="193" formatCode="0.000000000"/>
    <numFmt numFmtId="194" formatCode="0.0000000000"/>
    <numFmt numFmtId="195" formatCode="0.00000000000"/>
    <numFmt numFmtId="196" formatCode="0.000000000000"/>
    <numFmt numFmtId="197" formatCode="0.0000000000000"/>
    <numFmt numFmtId="198" formatCode="0.00000000000000"/>
    <numFmt numFmtId="199" formatCode="_(* #,##0.00000_);_(* \(#,##0.00000\);_(* &quot;-&quot;?????_);_(@_)"/>
    <numFmt numFmtId="200" formatCode="[$-409]dddd\,\ mmmm\ dd\,\ yyyy"/>
    <numFmt numFmtId="201" formatCode="[$-409]mmmm\ d\,\ yyyy;@"/>
    <numFmt numFmtId="202" formatCode="_(* #,##0.00000_);_(* \(#,##0.00000\);_(* &quot;-&quot;??_);_(@_)"/>
    <numFmt numFmtId="203" formatCode="[$-409]h:mm:ss\ AM/PM"/>
  </numFmts>
  <fonts count="83">
    <font>
      <sz val="10"/>
      <name val="Arial"/>
      <family val="2"/>
    </font>
    <font>
      <b/>
      <sz val="10"/>
      <name val="Arial"/>
      <family val="2"/>
    </font>
    <font>
      <b/>
      <vertAlign val="subscript"/>
      <sz val="10"/>
      <name val="Arial"/>
      <family val="2"/>
    </font>
    <font>
      <sz val="9"/>
      <name val="Arial"/>
      <family val="2"/>
    </font>
    <font>
      <sz val="9"/>
      <name val="Times New Roman"/>
      <family val="1"/>
    </font>
    <font>
      <sz val="10"/>
      <name val="Times New Roman"/>
      <family val="1"/>
    </font>
    <font>
      <b/>
      <sz val="10"/>
      <name val="Times New Roman"/>
      <family val="1"/>
    </font>
    <font>
      <sz val="10"/>
      <color indexed="8"/>
      <name val="Times New Roman"/>
      <family val="1"/>
    </font>
    <font>
      <vertAlign val="subscript"/>
      <sz val="10"/>
      <name val="Arial"/>
      <family val="2"/>
    </font>
    <font>
      <vertAlign val="superscript"/>
      <sz val="10"/>
      <name val="Arial"/>
      <family val="2"/>
    </font>
    <font>
      <sz val="12"/>
      <name val="Times New Roman"/>
      <family val="1"/>
    </font>
    <font>
      <b/>
      <sz val="12"/>
      <name val="Arial"/>
      <family val="2"/>
    </font>
    <font>
      <b/>
      <vertAlign val="superscript"/>
      <sz val="10"/>
      <name val="Arial"/>
      <family val="2"/>
    </font>
    <font>
      <b/>
      <i/>
      <sz val="10"/>
      <name val="Arial"/>
      <family val="2"/>
    </font>
    <font>
      <vertAlign val="subscript"/>
      <sz val="8"/>
      <name val="Arial"/>
      <family val="2"/>
    </font>
    <font>
      <u val="single"/>
      <sz val="10"/>
      <color indexed="12"/>
      <name val="Arial"/>
      <family val="2"/>
    </font>
    <font>
      <u val="single"/>
      <sz val="10"/>
      <color indexed="36"/>
      <name val="Arial"/>
      <family val="2"/>
    </font>
    <font>
      <i/>
      <sz val="10"/>
      <name val="Arial"/>
      <family val="2"/>
    </font>
    <font>
      <b/>
      <sz val="10"/>
      <color indexed="8"/>
      <name val="Arial"/>
      <family val="2"/>
    </font>
    <font>
      <sz val="10"/>
      <color indexed="8"/>
      <name val="Arial"/>
      <family val="2"/>
    </font>
    <font>
      <b/>
      <vertAlign val="superscript"/>
      <sz val="10"/>
      <color indexed="8"/>
      <name val="Arial"/>
      <family val="2"/>
    </font>
    <font>
      <b/>
      <sz val="10"/>
      <color indexed="56"/>
      <name val="Arial"/>
      <family val="2"/>
    </font>
    <font>
      <b/>
      <vertAlign val="subscript"/>
      <sz val="12"/>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sz val="8"/>
      <name val="Verdana"/>
      <family val="2"/>
    </font>
    <font>
      <b/>
      <sz val="14"/>
      <name val="Arial"/>
      <family val="2"/>
    </font>
    <font>
      <b/>
      <sz val="18"/>
      <color indexed="56"/>
      <name val="Cambria"/>
      <family val="2"/>
    </font>
    <font>
      <sz val="10"/>
      <color indexed="8"/>
      <name val="Calibri"/>
      <family val="2"/>
    </font>
    <font>
      <vertAlign val="superscript"/>
      <sz val="10"/>
      <color indexed="8"/>
      <name val="Calibri"/>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trike/>
      <sz val="10"/>
      <name val="Arial"/>
      <family val="2"/>
    </font>
    <font>
      <vertAlign val="subscript"/>
      <sz val="10"/>
      <color indexed="8"/>
      <name val="Arial"/>
      <family val="2"/>
    </font>
    <font>
      <b/>
      <sz val="11"/>
      <color indexed="8"/>
      <name val="Calibri"/>
      <family val="2"/>
    </font>
    <font>
      <b/>
      <vertAlign val="subscript"/>
      <sz val="11"/>
      <color indexed="8"/>
      <name val="Calibri"/>
      <family val="2"/>
    </font>
    <font>
      <b/>
      <sz val="10"/>
      <color indexed="8"/>
      <name val="Calibri"/>
      <family val="2"/>
    </font>
    <font>
      <sz val="11"/>
      <color indexed="8"/>
      <name val="Calibri"/>
      <family val="2"/>
    </font>
    <font>
      <u val="single"/>
      <sz val="10"/>
      <color indexed="8"/>
      <name val="Arial"/>
      <family val="2"/>
    </font>
    <font>
      <vertAlign val="superscript"/>
      <sz val="10"/>
      <color indexed="8"/>
      <name val="Arial"/>
      <family val="2"/>
    </font>
    <font>
      <vertAlign val="subscript"/>
      <sz val="11"/>
      <color indexed="8"/>
      <name val="Calibri"/>
      <family val="2"/>
    </font>
    <font>
      <u val="single"/>
      <sz val="11"/>
      <color indexed="8"/>
      <name val="Calibri"/>
      <family val="2"/>
    </font>
    <font>
      <sz val="11"/>
      <color indexed="9"/>
      <name val="Calibri"/>
      <family val="2"/>
    </font>
    <font>
      <vertAlign val="superscript"/>
      <sz val="11"/>
      <color indexed="8"/>
      <name val="Calibri"/>
      <family val="2"/>
    </font>
    <font>
      <sz val="10"/>
      <color indexed="9"/>
      <name val="Calibri"/>
      <family val="2"/>
    </font>
    <font>
      <u val="single"/>
      <vertAlign val="superscript"/>
      <sz val="11"/>
      <color indexed="8"/>
      <name val="Calibri"/>
      <family val="2"/>
    </font>
    <font>
      <u val="single"/>
      <sz val="10"/>
      <color indexed="9"/>
      <name val="Arial"/>
      <family val="2"/>
    </font>
    <font>
      <u val="single"/>
      <sz val="11"/>
      <color indexed="9"/>
      <name val="Calibri"/>
      <family val="2"/>
    </font>
    <font>
      <u val="single"/>
      <vertAlign val="subscript"/>
      <sz val="10"/>
      <color indexed="8"/>
      <name val="Arial"/>
      <family val="2"/>
    </font>
    <font>
      <u val="single"/>
      <vertAlign val="subscript"/>
      <sz val="11"/>
      <color indexed="8"/>
      <name val="Calibri"/>
      <family val="2"/>
    </font>
    <font>
      <sz val="11"/>
      <color indexed="8"/>
      <name val="Arial"/>
      <family val="2"/>
    </font>
    <font>
      <vertAlign val="superscript"/>
      <sz val="11"/>
      <color indexed="8"/>
      <name val="Arial"/>
      <family val="2"/>
    </font>
    <font>
      <u val="single"/>
      <sz val="11"/>
      <color indexed="8"/>
      <name val="Arial"/>
      <family val="2"/>
    </font>
    <font>
      <sz val="11"/>
      <color indexed="9"/>
      <name val="Arial"/>
      <family val="2"/>
    </font>
    <font>
      <vertAlign val="subscript"/>
      <sz val="10"/>
      <color indexed="8"/>
      <name val="Calibri"/>
      <family val="2"/>
    </font>
    <font>
      <u val="single"/>
      <sz val="10"/>
      <color indexed="8"/>
      <name val="Calibri"/>
      <family val="2"/>
    </font>
    <font>
      <sz val="9"/>
      <color indexed="8"/>
      <name val="Arial"/>
      <family val="2"/>
    </font>
    <font>
      <vertAlign val="subscript"/>
      <sz val="9"/>
      <color indexed="8"/>
      <name val="Arial"/>
      <family val="2"/>
    </font>
    <font>
      <u val="single"/>
      <sz val="9"/>
      <color indexed="8"/>
      <name val="Arial"/>
      <family val="2"/>
    </font>
    <font>
      <sz val="9"/>
      <color indexed="9"/>
      <name val="Arial"/>
      <family val="2"/>
    </font>
    <font>
      <u val="single"/>
      <sz val="9"/>
      <color indexed="9"/>
      <name val="Arial"/>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medium"/>
      <bottom style="medium"/>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style="thin"/>
    </border>
    <border>
      <left style="thin"/>
      <right style="thin"/>
      <top style="medium"/>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color theme="0"/>
      </top>
      <bottom style="thin"/>
    </border>
    <border>
      <left style="medium"/>
      <right style="thin"/>
      <top style="thin"/>
      <bottom style="thin"/>
    </border>
    <border>
      <left>
        <color indexed="63"/>
      </left>
      <right>
        <color indexed="63"/>
      </right>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0"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15"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23" fillId="23" borderId="0" applyNumberFormat="0" applyBorder="0" applyAlignment="0" applyProtection="0"/>
    <xf numFmtId="0" fontId="73" fillId="24" borderId="1" applyNumberFormat="0" applyAlignment="0" applyProtection="0"/>
    <xf numFmtId="0" fontId="7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16" fillId="0" borderId="0" applyNumberFormat="0" applyFill="0" applyBorder="0" applyAlignment="0" applyProtection="0"/>
    <xf numFmtId="0" fontId="76" fillId="2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77" fillId="27" borderId="1" applyNumberFormat="0" applyAlignment="0" applyProtection="0"/>
    <xf numFmtId="0" fontId="78" fillId="0" borderId="6" applyNumberFormat="0" applyFill="0" applyAlignment="0" applyProtection="0"/>
    <xf numFmtId="0" fontId="79" fillId="28"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29" borderId="7" applyNumberFormat="0" applyFont="0" applyAlignment="0" applyProtection="0"/>
    <xf numFmtId="0" fontId="80" fillId="24"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24">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Border="1" applyAlignment="1">
      <alignment/>
    </xf>
    <xf numFmtId="0" fontId="11" fillId="0" borderId="0" xfId="0" applyFont="1" applyAlignment="1">
      <alignment horizontal="center"/>
    </xf>
    <xf numFmtId="164" fontId="1" fillId="0" borderId="0" xfId="0" applyNumberFormat="1" applyFont="1" applyAlignment="1">
      <alignment/>
    </xf>
    <xf numFmtId="0" fontId="0" fillId="0" borderId="0" xfId="0" applyAlignment="1">
      <alignment horizontal="center" vertical="center" wrapText="1"/>
    </xf>
    <xf numFmtId="0" fontId="1" fillId="0" borderId="0" xfId="0" applyFont="1" applyBorder="1" applyAlignment="1">
      <alignment/>
    </xf>
    <xf numFmtId="0" fontId="0" fillId="0" borderId="0" xfId="0" applyFont="1" applyAlignment="1">
      <alignment/>
    </xf>
    <xf numFmtId="0" fontId="0" fillId="0" borderId="0" xfId="0" applyFont="1" applyAlignment="1">
      <alignment vertical="center"/>
    </xf>
    <xf numFmtId="166" fontId="0" fillId="0" borderId="0" xfId="42" applyNumberFormat="1" applyFont="1" applyAlignment="1">
      <alignment vertical="center"/>
    </xf>
    <xf numFmtId="43" fontId="0" fillId="0" borderId="0" xfId="0" applyNumberFormat="1" applyFont="1" applyAlignment="1">
      <alignment vertical="center"/>
    </xf>
    <xf numFmtId="0" fontId="0" fillId="0" borderId="0" xfId="0" applyFont="1" applyAlignment="1">
      <alignment vertical="center" wrapText="1"/>
    </xf>
    <xf numFmtId="0" fontId="0" fillId="0" borderId="0" xfId="0" applyAlignment="1">
      <alignment/>
    </xf>
    <xf numFmtId="0" fontId="1" fillId="0" borderId="0" xfId="0" applyFont="1" applyAlignment="1">
      <alignment/>
    </xf>
    <xf numFmtId="0" fontId="0" fillId="0" borderId="0" xfId="0" applyFill="1" applyAlignment="1">
      <alignment/>
    </xf>
    <xf numFmtId="0" fontId="13" fillId="0" borderId="0" xfId="0" applyFont="1" applyAlignment="1">
      <alignment horizontal="left"/>
    </xf>
    <xf numFmtId="164" fontId="0" fillId="0" borderId="0" xfId="0" applyNumberFormat="1" applyAlignment="1">
      <alignment vertical="center"/>
    </xf>
    <xf numFmtId="43" fontId="0" fillId="0" borderId="0" xfId="0" applyNumberFormat="1" applyFont="1" applyAlignment="1">
      <alignment/>
    </xf>
    <xf numFmtId="0" fontId="1" fillId="0" borderId="0" xfId="0" applyFont="1" applyFill="1" applyAlignment="1">
      <alignment/>
    </xf>
    <xf numFmtId="0" fontId="0" fillId="0" borderId="0" xfId="0" applyFill="1" applyAlignment="1">
      <alignment horizontal="left" wrapText="1"/>
    </xf>
    <xf numFmtId="0" fontId="0" fillId="0" borderId="0" xfId="0" applyAlignment="1">
      <alignment horizontal="left" vertical="center" wrapText="1"/>
    </xf>
    <xf numFmtId="2" fontId="0" fillId="0" borderId="0" xfId="0" applyNumberFormat="1" applyFill="1" applyAlignment="1">
      <alignment/>
    </xf>
    <xf numFmtId="0" fontId="5" fillId="0" borderId="0" xfId="0" applyFont="1" applyAlignment="1" applyProtection="1">
      <alignment horizontal="right" vertical="center" wrapText="1"/>
      <protection locked="0"/>
    </xf>
    <xf numFmtId="0" fontId="0" fillId="0" borderId="0" xfId="0" applyFont="1" applyBorder="1" applyAlignment="1">
      <alignment horizontal="center" vertical="center"/>
    </xf>
    <xf numFmtId="0" fontId="0" fillId="0" borderId="0" xfId="0" applyAlignment="1">
      <alignment horizontal="left" vertical="center"/>
    </xf>
    <xf numFmtId="0" fontId="1" fillId="0" borderId="0" xfId="0" applyFont="1" applyAlignment="1">
      <alignment vertical="center"/>
    </xf>
    <xf numFmtId="0" fontId="1" fillId="0" borderId="0" xfId="0" applyFont="1" applyAlignment="1">
      <alignment vertical="center" wrapText="1"/>
    </xf>
    <xf numFmtId="2" fontId="0" fillId="0" borderId="0" xfId="0" applyNumberFormat="1" applyAlignment="1">
      <alignment vertical="center"/>
    </xf>
    <xf numFmtId="0" fontId="0" fillId="0" borderId="0" xfId="0" applyFont="1" applyAlignment="1">
      <alignment horizontal="left" vertical="center" wrapText="1"/>
    </xf>
    <xf numFmtId="0" fontId="1" fillId="0" borderId="10" xfId="0" applyFont="1" applyBorder="1" applyAlignment="1">
      <alignment horizontal="center"/>
    </xf>
    <xf numFmtId="0" fontId="1" fillId="0" borderId="0" xfId="0" applyFont="1" applyAlignment="1">
      <alignment horizontal="center" vertical="center"/>
    </xf>
    <xf numFmtId="164" fontId="0" fillId="0" borderId="0" xfId="0" applyNumberFormat="1" applyAlignment="1">
      <alignment vertical="center" wrapText="1"/>
    </xf>
    <xf numFmtId="0" fontId="0" fillId="0" borderId="0" xfId="0" applyFont="1" applyAlignment="1">
      <alignment horizontal="center" vertical="center" wrapText="1"/>
    </xf>
    <xf numFmtId="9" fontId="0" fillId="0" borderId="0" xfId="62" applyFont="1" applyAlignment="1">
      <alignment vertical="center" wrapText="1"/>
    </xf>
    <xf numFmtId="0" fontId="0" fillId="0" borderId="0" xfId="0" applyFont="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164" fontId="0" fillId="0" borderId="10" xfId="0" applyNumberFormat="1" applyBorder="1" applyAlignment="1">
      <alignment vertical="center" wrapText="1"/>
    </xf>
    <xf numFmtId="3" fontId="0" fillId="0" borderId="10" xfId="0" applyNumberFormat="1" applyBorder="1" applyAlignment="1">
      <alignment vertical="center" wrapText="1"/>
    </xf>
    <xf numFmtId="9" fontId="0" fillId="0" borderId="10" xfId="62" applyFont="1" applyBorder="1" applyAlignment="1">
      <alignment horizontal="center" vertical="center" wrapText="1"/>
    </xf>
    <xf numFmtId="1" fontId="0" fillId="0" borderId="10" xfId="62" applyNumberFormat="1" applyFont="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Border="1" applyAlignment="1">
      <alignment vertical="center" wrapText="1"/>
    </xf>
    <xf numFmtId="9" fontId="0" fillId="0" borderId="10" xfId="62" applyFont="1" applyBorder="1" applyAlignment="1">
      <alignment vertical="center" wrapText="1"/>
    </xf>
    <xf numFmtId="0" fontId="0" fillId="0" borderId="0" xfId="0" applyBorder="1" applyAlignment="1">
      <alignment vertical="center" wrapText="1"/>
    </xf>
    <xf numFmtId="9" fontId="0" fillId="0" borderId="0" xfId="62" applyFont="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ill="1" applyBorder="1" applyAlignment="1">
      <alignment vertical="center"/>
    </xf>
    <xf numFmtId="0" fontId="0" fillId="0" borderId="10" xfId="0" applyFont="1" applyBorder="1" applyAlignment="1">
      <alignment vertical="center"/>
    </xf>
    <xf numFmtId="0" fontId="1" fillId="0" borderId="0" xfId="0" applyFont="1" applyFill="1" applyAlignment="1">
      <alignment/>
    </xf>
    <xf numFmtId="0" fontId="1" fillId="0" borderId="10" xfId="0" applyFont="1" applyBorder="1" applyAlignment="1">
      <alignment/>
    </xf>
    <xf numFmtId="0" fontId="0" fillId="0" borderId="10" xfId="0" applyFont="1" applyBorder="1" applyAlignment="1">
      <alignment horizontal="center"/>
    </xf>
    <xf numFmtId="0" fontId="0" fillId="0" borderId="10" xfId="0" applyBorder="1" applyAlignment="1">
      <alignment/>
    </xf>
    <xf numFmtId="0" fontId="1" fillId="0" borderId="10" xfId="0" applyFont="1" applyFill="1" applyBorder="1" applyAlignment="1">
      <alignment/>
    </xf>
    <xf numFmtId="0" fontId="1" fillId="0" borderId="10" xfId="0"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xf>
    <xf numFmtId="0" fontId="0" fillId="0" borderId="10" xfId="0" applyFill="1" applyBorder="1" applyAlignment="1">
      <alignment horizontal="right"/>
    </xf>
    <xf numFmtId="9" fontId="0" fillId="0" borderId="10" xfId="0" applyNumberFormat="1" applyFill="1" applyBorder="1" applyAlignment="1">
      <alignment/>
    </xf>
    <xf numFmtId="0" fontId="0" fillId="0" borderId="0" xfId="0" applyFont="1" applyBorder="1" applyAlignment="1">
      <alignment vertical="center"/>
    </xf>
    <xf numFmtId="0" fontId="0" fillId="0" borderId="0" xfId="0" applyFont="1" applyFill="1" applyBorder="1" applyAlignment="1">
      <alignment horizontal="right" vertical="center"/>
    </xf>
    <xf numFmtId="0" fontId="1" fillId="0" borderId="0" xfId="0" applyFont="1" applyBorder="1" applyAlignment="1">
      <alignment/>
    </xf>
    <xf numFmtId="0" fontId="0" fillId="0" borderId="11"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xf>
    <xf numFmtId="0" fontId="5" fillId="0" borderId="0" xfId="59" applyFont="1" applyAlignment="1">
      <alignment vertical="center"/>
      <protection/>
    </xf>
    <xf numFmtId="0" fontId="0" fillId="0" borderId="10" xfId="0" applyFont="1" applyBorder="1" applyAlignment="1">
      <alignment horizontal="left" vertical="center"/>
    </xf>
    <xf numFmtId="164" fontId="0" fillId="0" borderId="10" xfId="0" applyNumberFormat="1" applyFont="1" applyBorder="1" applyAlignment="1">
      <alignment vertical="center"/>
    </xf>
    <xf numFmtId="43" fontId="0" fillId="0" borderId="10" xfId="42" applyFont="1" applyBorder="1" applyAlignment="1">
      <alignment vertical="center"/>
    </xf>
    <xf numFmtId="2" fontId="0" fillId="0" borderId="10" xfId="0" applyNumberFormat="1" applyFont="1" applyBorder="1" applyAlignment="1">
      <alignment vertical="center"/>
    </xf>
    <xf numFmtId="2" fontId="0" fillId="0" borderId="0" xfId="0" applyNumberFormat="1" applyFont="1" applyBorder="1" applyAlignment="1">
      <alignment vertical="center"/>
    </xf>
    <xf numFmtId="0" fontId="5" fillId="0" borderId="0" xfId="59" applyFont="1" applyAlignment="1" applyProtection="1">
      <alignment horizontal="center" vertical="center"/>
      <protection locked="0"/>
    </xf>
    <xf numFmtId="166" fontId="5" fillId="0" borderId="0" xfId="42" applyNumberFormat="1" applyFont="1" applyAlignment="1">
      <alignment vertical="center"/>
    </xf>
    <xf numFmtId="0" fontId="6" fillId="0" borderId="0" xfId="59" applyFont="1" applyAlignment="1">
      <alignment vertical="center" wrapText="1"/>
      <protection/>
    </xf>
    <xf numFmtId="0" fontId="5" fillId="0" borderId="0" xfId="59" applyFont="1" applyAlignment="1">
      <alignment horizontal="center" vertical="center" wrapText="1"/>
      <protection/>
    </xf>
    <xf numFmtId="0" fontId="5" fillId="0" borderId="0" xfId="59" applyFont="1" applyFill="1" applyBorder="1" applyAlignment="1">
      <alignment vertical="center"/>
      <protection/>
    </xf>
    <xf numFmtId="169" fontId="5" fillId="0" borderId="0" xfId="59" applyNumberFormat="1" applyFont="1" applyAlignment="1">
      <alignment horizontal="center" vertical="center"/>
      <protection/>
    </xf>
    <xf numFmtId="0" fontId="7" fillId="0" borderId="0" xfId="59" applyFont="1" applyAlignment="1">
      <alignment vertical="center"/>
      <protection/>
    </xf>
    <xf numFmtId="0" fontId="0" fillId="0" borderId="0" xfId="0" applyFont="1" applyBorder="1" applyAlignment="1">
      <alignment horizontal="left" vertical="center"/>
    </xf>
    <xf numFmtId="164" fontId="0" fillId="0" borderId="10" xfId="0" applyNumberFormat="1" applyFont="1" applyBorder="1" applyAlignment="1">
      <alignment horizontal="left" vertical="center"/>
    </xf>
    <xf numFmtId="0" fontId="9" fillId="0" borderId="10" xfId="0" applyFont="1" applyBorder="1" applyAlignment="1">
      <alignment horizontal="left" vertical="center"/>
    </xf>
    <xf numFmtId="0" fontId="0" fillId="0" borderId="0" xfId="59" applyFont="1" applyAlignment="1">
      <alignment vertical="center"/>
      <protection/>
    </xf>
    <xf numFmtId="0" fontId="1" fillId="0" borderId="0" xfId="0" applyFont="1" applyAlignment="1">
      <alignment horizontal="left" vertical="center"/>
    </xf>
    <xf numFmtId="2" fontId="0" fillId="0" borderId="0" xfId="0" applyNumberFormat="1" applyFont="1" applyAlignment="1">
      <alignment vertical="center"/>
    </xf>
    <xf numFmtId="164" fontId="0" fillId="0" borderId="10" xfId="0" applyNumberFormat="1" applyFont="1" applyBorder="1" applyAlignment="1">
      <alignment horizontal="center" vertical="center"/>
    </xf>
    <xf numFmtId="166" fontId="0" fillId="0" borderId="10" xfId="42" applyNumberFormat="1" applyFont="1" applyFill="1" applyBorder="1" applyAlignment="1">
      <alignment vertical="center"/>
    </xf>
    <xf numFmtId="3" fontId="0" fillId="0" borderId="10" xfId="0" applyNumberFormat="1" applyFont="1" applyBorder="1" applyAlignment="1">
      <alignment vertical="center"/>
    </xf>
    <xf numFmtId="180" fontId="0" fillId="0" borderId="10" xfId="0" applyNumberFormat="1" applyFont="1" applyBorder="1" applyAlignment="1">
      <alignment vertical="center"/>
    </xf>
    <xf numFmtId="166" fontId="0" fillId="0" borderId="10" xfId="42" applyNumberFormat="1" applyFont="1" applyBorder="1" applyAlignment="1">
      <alignment vertical="center"/>
    </xf>
    <xf numFmtId="9" fontId="0" fillId="0" borderId="10" xfId="62" applyFont="1" applyBorder="1" applyAlignment="1">
      <alignment vertical="center"/>
    </xf>
    <xf numFmtId="0" fontId="5" fillId="0" borderId="0" xfId="0" applyFont="1" applyAlignment="1">
      <alignment vertical="center"/>
    </xf>
    <xf numFmtId="180" fontId="0" fillId="0" borderId="10" xfId="62" applyNumberFormat="1" applyFont="1" applyBorder="1" applyAlignment="1">
      <alignment vertical="center"/>
    </xf>
    <xf numFmtId="43" fontId="0" fillId="0" borderId="10" xfId="0" applyNumberFormat="1" applyFont="1" applyBorder="1" applyAlignment="1">
      <alignment vertical="center"/>
    </xf>
    <xf numFmtId="11" fontId="0" fillId="0" borderId="10" xfId="0" applyNumberFormat="1" applyFont="1" applyBorder="1" applyAlignment="1">
      <alignment/>
    </xf>
    <xf numFmtId="0" fontId="0" fillId="0" borderId="10" xfId="0" applyFont="1" applyBorder="1" applyAlignment="1">
      <alignment horizontal="left" vertical="center" wrapText="1"/>
    </xf>
    <xf numFmtId="0" fontId="1" fillId="0" borderId="12" xfId="0" applyFont="1" applyBorder="1" applyAlignment="1">
      <alignment/>
    </xf>
    <xf numFmtId="0" fontId="0" fillId="0" borderId="10" xfId="0" applyFont="1" applyFill="1" applyBorder="1" applyAlignment="1">
      <alignment/>
    </xf>
    <xf numFmtId="0" fontId="1" fillId="0" borderId="12" xfId="0" applyFont="1" applyBorder="1" applyAlignment="1">
      <alignment/>
    </xf>
    <xf numFmtId="0" fontId="0" fillId="0" borderId="10" xfId="0" applyFont="1" applyFill="1" applyBorder="1" applyAlignment="1">
      <alignment/>
    </xf>
    <xf numFmtId="4" fontId="0" fillId="0" borderId="10" xfId="0" applyNumberFormat="1" applyBorder="1" applyAlignment="1">
      <alignment horizontal="center"/>
    </xf>
    <xf numFmtId="4" fontId="0" fillId="0" borderId="10" xfId="0" applyNumberFormat="1" applyBorder="1" applyAlignment="1" quotePrefix="1">
      <alignment horizontal="center"/>
    </xf>
    <xf numFmtId="4" fontId="1" fillId="0" borderId="10" xfId="0" applyNumberFormat="1" applyFont="1" applyBorder="1" applyAlignment="1">
      <alignment horizontal="center"/>
    </xf>
    <xf numFmtId="0" fontId="0" fillId="0" borderId="0" xfId="0" applyBorder="1" applyAlignment="1">
      <alignment horizontal="center" vertical="center" wrapText="1"/>
    </xf>
    <xf numFmtId="3" fontId="0" fillId="0" borderId="10" xfId="0" applyNumberFormat="1" applyBorder="1" applyAlignment="1">
      <alignment horizontal="right" vertical="center" wrapText="1"/>
    </xf>
    <xf numFmtId="2" fontId="0" fillId="0" borderId="10" xfId="0" applyNumberFormat="1" applyFont="1" applyBorder="1" applyAlignment="1">
      <alignment/>
    </xf>
    <xf numFmtId="169" fontId="0" fillId="0" borderId="10" xfId="0" applyNumberFormat="1" applyFont="1" applyBorder="1" applyAlignment="1">
      <alignment/>
    </xf>
    <xf numFmtId="0" fontId="0" fillId="0" borderId="10" xfId="0" applyFont="1" applyBorder="1" applyAlignment="1" quotePrefix="1">
      <alignment horizontal="center"/>
    </xf>
    <xf numFmtId="43" fontId="0" fillId="0" borderId="10" xfId="0" applyNumberFormat="1" applyFont="1" applyFill="1" applyBorder="1" applyAlignment="1">
      <alignment/>
    </xf>
    <xf numFmtId="11" fontId="0" fillId="0" borderId="10" xfId="0" applyNumberFormat="1" applyFont="1" applyFill="1" applyBorder="1" applyAlignment="1">
      <alignment/>
    </xf>
    <xf numFmtId="43" fontId="0" fillId="0" borderId="10" xfId="0" applyNumberFormat="1" applyFont="1" applyBorder="1" applyAlignment="1">
      <alignment/>
    </xf>
    <xf numFmtId="2" fontId="0" fillId="0" borderId="10" xfId="0" applyNumberFormat="1" applyBorder="1" applyAlignment="1">
      <alignment horizontal="center" vertical="center" wrapText="1"/>
    </xf>
    <xf numFmtId="2" fontId="0" fillId="0" borderId="10" xfId="0" applyNumberFormat="1" applyBorder="1" applyAlignment="1">
      <alignment/>
    </xf>
    <xf numFmtId="11" fontId="0" fillId="0" borderId="10" xfId="0" applyNumberFormat="1" applyBorder="1" applyAlignment="1">
      <alignment horizontal="center" vertical="center" wrapText="1"/>
    </xf>
    <xf numFmtId="11" fontId="0" fillId="0" borderId="0" xfId="0" applyNumberFormat="1" applyFont="1" applyBorder="1" applyAlignment="1">
      <alignment vertical="center"/>
    </xf>
    <xf numFmtId="2" fontId="0" fillId="0" borderId="10" xfId="0" applyNumberFormat="1" applyFont="1" applyBorder="1" applyAlignment="1">
      <alignment horizontal="right" vertical="center" wrapText="1"/>
    </xf>
    <xf numFmtId="2" fontId="0" fillId="0" borderId="10" xfId="0" applyNumberFormat="1" applyBorder="1" applyAlignment="1">
      <alignment horizontal="right"/>
    </xf>
    <xf numFmtId="0" fontId="0" fillId="0" borderId="10" xfId="0" applyFont="1" applyBorder="1" applyAlignment="1">
      <alignment wrapText="1"/>
    </xf>
    <xf numFmtId="0" fontId="1" fillId="0" borderId="10" xfId="0" applyFont="1" applyBorder="1" applyAlignment="1">
      <alignment vertical="center"/>
    </xf>
    <xf numFmtId="0" fontId="0" fillId="0" borderId="10" xfId="0" applyFont="1" applyFill="1" applyBorder="1" applyAlignment="1">
      <alignment vertical="center"/>
    </xf>
    <xf numFmtId="0" fontId="11" fillId="0" borderId="0" xfId="0" applyFont="1" applyAlignment="1">
      <alignment horizontal="center" vertical="center" wrapText="1"/>
    </xf>
    <xf numFmtId="0" fontId="1" fillId="0" borderId="13" xfId="0" applyFont="1" applyBorder="1" applyAlignment="1">
      <alignment horizontal="center" vertical="center" wrapText="1"/>
    </xf>
    <xf numFmtId="0" fontId="11" fillId="0" borderId="0" xfId="0" applyFont="1" applyBorder="1" applyAlignment="1">
      <alignment vertical="center"/>
    </xf>
    <xf numFmtId="11" fontId="0" fillId="0" borderId="10" xfId="0" applyNumberFormat="1" applyFont="1" applyBorder="1" applyAlignment="1">
      <alignment vertical="center"/>
    </xf>
    <xf numFmtId="0" fontId="0" fillId="0" borderId="10" xfId="0" applyFont="1" applyBorder="1" applyAlignment="1" applyProtection="1">
      <alignment vertical="center" wrapText="1"/>
      <protection locked="0"/>
    </xf>
    <xf numFmtId="0" fontId="0" fillId="0" borderId="10" xfId="0" applyFont="1" applyBorder="1" applyAlignment="1" applyProtection="1">
      <alignment vertical="center"/>
      <protection locked="0"/>
    </xf>
    <xf numFmtId="9" fontId="0" fillId="0" borderId="10" xfId="62" applyFont="1" applyBorder="1" applyAlignment="1" applyProtection="1">
      <alignment vertical="center"/>
      <protection locked="0"/>
    </xf>
    <xf numFmtId="0" fontId="5"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166" fontId="0" fillId="0" borderId="10" xfId="42" applyNumberFormat="1" applyFont="1" applyBorder="1" applyAlignment="1" applyProtection="1">
      <alignment vertical="center"/>
      <protection locked="0"/>
    </xf>
    <xf numFmtId="166" fontId="0" fillId="0" borderId="10" xfId="42" applyNumberFormat="1" applyFont="1" applyBorder="1" applyAlignment="1" applyProtection="1">
      <alignment horizontal="left" vertical="center" wrapText="1"/>
      <protection locked="0"/>
    </xf>
    <xf numFmtId="164" fontId="0" fillId="0" borderId="10" xfId="0" applyNumberFormat="1" applyFont="1" applyBorder="1" applyAlignment="1" applyProtection="1">
      <alignment vertical="center"/>
      <protection locked="0"/>
    </xf>
    <xf numFmtId="166" fontId="0" fillId="0" borderId="0" xfId="42" applyNumberFormat="1" applyFont="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protection locked="0"/>
    </xf>
    <xf numFmtId="179" fontId="0" fillId="0" borderId="10" xfId="0" applyNumberFormat="1" applyFont="1" applyBorder="1" applyAlignment="1" applyProtection="1">
      <alignment horizontal="right" vertical="center"/>
      <protection locked="0"/>
    </xf>
    <xf numFmtId="11" fontId="0" fillId="0" borderId="10" xfId="0" applyNumberFormat="1" applyFont="1" applyBorder="1" applyAlignment="1" applyProtection="1">
      <alignment horizontal="right" vertical="center"/>
      <protection locked="0"/>
    </xf>
    <xf numFmtId="2" fontId="0" fillId="0" borderId="0" xfId="0" applyNumberFormat="1" applyFont="1" applyBorder="1" applyAlignment="1" applyProtection="1">
      <alignment vertical="center"/>
      <protection locked="0"/>
    </xf>
    <xf numFmtId="179" fontId="0" fillId="0" borderId="10" xfId="0" applyNumberFormat="1" applyFont="1" applyBorder="1" applyAlignment="1" applyProtection="1">
      <alignment horizontal="right" vertical="center" wrapText="1"/>
      <protection locked="0"/>
    </xf>
    <xf numFmtId="0" fontId="5" fillId="0" borderId="0" xfId="0" applyFont="1" applyAlignment="1" applyProtection="1">
      <alignment horizontal="right" vertical="center"/>
      <protection locked="0"/>
    </xf>
    <xf numFmtId="0" fontId="1" fillId="0" borderId="0" xfId="59" applyFont="1" applyAlignment="1">
      <alignment vertical="center"/>
      <protection/>
    </xf>
    <xf numFmtId="0" fontId="0" fillId="0" borderId="10" xfId="59" applyFont="1" applyFill="1" applyBorder="1" applyAlignment="1">
      <alignment vertical="center"/>
      <protection/>
    </xf>
    <xf numFmtId="3" fontId="0" fillId="0" borderId="10" xfId="59" applyNumberFormat="1" applyFont="1" applyFill="1" applyBorder="1" applyAlignment="1" applyProtection="1">
      <alignment vertical="center"/>
      <protection locked="0"/>
    </xf>
    <xf numFmtId="0" fontId="0" fillId="0" borderId="10" xfId="59" applyFont="1" applyBorder="1" applyAlignment="1">
      <alignment vertical="center"/>
      <protection/>
    </xf>
    <xf numFmtId="0" fontId="0" fillId="0" borderId="0" xfId="59" applyFont="1" applyAlignment="1" applyProtection="1">
      <alignment vertical="center"/>
      <protection locked="0"/>
    </xf>
    <xf numFmtId="0" fontId="0" fillId="0" borderId="0" xfId="59" applyFont="1" applyAlignment="1" applyProtection="1">
      <alignment horizontal="center" vertical="center"/>
      <protection locked="0"/>
    </xf>
    <xf numFmtId="1" fontId="0" fillId="0" borderId="10" xfId="42" applyNumberFormat="1" applyFont="1" applyFill="1" applyBorder="1" applyAlignment="1" applyProtection="1" quotePrefix="1">
      <alignment horizontal="right" vertical="center"/>
      <protection locked="0"/>
    </xf>
    <xf numFmtId="183" fontId="0" fillId="0" borderId="10" xfId="59" applyNumberFormat="1" applyFont="1" applyFill="1" applyBorder="1" applyAlignment="1" applyProtection="1">
      <alignment vertical="center"/>
      <protection locked="0"/>
    </xf>
    <xf numFmtId="0" fontId="0" fillId="0" borderId="0" xfId="59" applyFont="1" applyBorder="1" applyAlignment="1">
      <alignment vertical="center"/>
      <protection/>
    </xf>
    <xf numFmtId="166" fontId="0" fillId="0" borderId="10" xfId="42" applyNumberFormat="1" applyFont="1" applyFill="1" applyBorder="1" applyAlignment="1" applyProtection="1">
      <alignment vertical="center"/>
      <protection locked="0"/>
    </xf>
    <xf numFmtId="43" fontId="0" fillId="0" borderId="10" xfId="42" applyNumberFormat="1" applyFont="1" applyFill="1" applyBorder="1" applyAlignment="1" applyProtection="1">
      <alignment horizontal="right" vertical="center"/>
      <protection locked="0"/>
    </xf>
    <xf numFmtId="0" fontId="18" fillId="0" borderId="0" xfId="59" applyFont="1" applyFill="1" applyBorder="1" applyAlignment="1">
      <alignment vertical="center"/>
      <protection/>
    </xf>
    <xf numFmtId="0" fontId="1" fillId="0" borderId="0" xfId="59" applyFont="1" applyFill="1" applyBorder="1" applyAlignment="1">
      <alignment vertical="center"/>
      <protection/>
    </xf>
    <xf numFmtId="0" fontId="1" fillId="0" borderId="10" xfId="59" applyFont="1" applyFill="1" applyBorder="1" applyAlignment="1">
      <alignment horizontal="center" vertical="center" wrapText="1"/>
      <protection/>
    </xf>
    <xf numFmtId="0" fontId="1" fillId="0" borderId="10" xfId="59" applyFont="1" applyBorder="1" applyAlignment="1">
      <alignment horizontal="center" vertical="center" wrapText="1"/>
      <protection/>
    </xf>
    <xf numFmtId="2" fontId="0" fillId="0" borderId="10" xfId="59" applyNumberFormat="1" applyFont="1" applyBorder="1" applyAlignment="1">
      <alignment horizontal="center" vertical="center"/>
      <protection/>
    </xf>
    <xf numFmtId="169" fontId="0" fillId="0" borderId="10" xfId="59" applyNumberFormat="1" applyFont="1" applyBorder="1" applyAlignment="1">
      <alignment horizontal="center" vertical="center"/>
      <protection/>
    </xf>
    <xf numFmtId="0" fontId="0" fillId="0" borderId="10" xfId="59" applyFont="1" applyBorder="1" applyAlignment="1">
      <alignment horizontal="center" vertical="center"/>
      <protection/>
    </xf>
    <xf numFmtId="2" fontId="0" fillId="0" borderId="10" xfId="59" applyNumberFormat="1" applyFont="1" applyFill="1" applyBorder="1" applyAlignment="1">
      <alignment horizontal="center" vertical="center"/>
      <protection/>
    </xf>
    <xf numFmtId="169" fontId="0" fillId="0" borderId="10" xfId="59" applyNumberFormat="1" applyFont="1" applyFill="1" applyBorder="1" applyAlignment="1">
      <alignment horizontal="center" vertical="center"/>
      <protection/>
    </xf>
    <xf numFmtId="0" fontId="9" fillId="0" borderId="0" xfId="59" applyFont="1" applyFill="1" applyBorder="1" applyAlignment="1">
      <alignment vertical="center"/>
      <protection/>
    </xf>
    <xf numFmtId="0" fontId="0" fillId="0" borderId="0" xfId="59" applyFont="1" applyFill="1" applyBorder="1" applyAlignment="1">
      <alignment vertical="center"/>
      <protection/>
    </xf>
    <xf numFmtId="0" fontId="1" fillId="0" borderId="0" xfId="59" applyFont="1" applyAlignment="1">
      <alignment vertical="center" wrapText="1"/>
      <protection/>
    </xf>
    <xf numFmtId="179" fontId="0" fillId="0" borderId="10" xfId="59" applyNumberFormat="1" applyFont="1" applyBorder="1" applyAlignment="1">
      <alignment horizontal="center" vertical="center"/>
      <protection/>
    </xf>
    <xf numFmtId="11" fontId="0" fillId="0" borderId="10" xfId="59" applyNumberFormat="1" applyFont="1" applyBorder="1" applyAlignment="1">
      <alignment vertical="center"/>
      <protection/>
    </xf>
    <xf numFmtId="11" fontId="0" fillId="0" borderId="0" xfId="59" applyNumberFormat="1" applyFont="1" applyAlignment="1">
      <alignment vertical="center"/>
      <protection/>
    </xf>
    <xf numFmtId="179" fontId="0" fillId="0" borderId="10" xfId="59" applyNumberFormat="1" applyFont="1" applyFill="1" applyBorder="1" applyAlignment="1">
      <alignment horizontal="center" vertical="center"/>
      <protection/>
    </xf>
    <xf numFmtId="164" fontId="0" fillId="0" borderId="10" xfId="59" applyNumberFormat="1" applyFont="1" applyBorder="1" applyAlignment="1">
      <alignment horizontal="center" vertical="center"/>
      <protection/>
    </xf>
    <xf numFmtId="179" fontId="0" fillId="0" borderId="0" xfId="59" applyNumberFormat="1" applyFont="1" applyBorder="1" applyAlignment="1">
      <alignment horizontal="center" vertical="center"/>
      <protection/>
    </xf>
    <xf numFmtId="0" fontId="0" fillId="0" borderId="0" xfId="59" applyFont="1" applyBorder="1" applyAlignment="1">
      <alignment horizontal="center" vertical="center"/>
      <protection/>
    </xf>
    <xf numFmtId="0" fontId="1" fillId="0" borderId="10" xfId="59" applyFont="1" applyFill="1" applyBorder="1" applyAlignment="1">
      <alignment vertical="center"/>
      <protection/>
    </xf>
    <xf numFmtId="0" fontId="0" fillId="0" borderId="10" xfId="59" applyFont="1" applyBorder="1" applyAlignment="1">
      <alignment horizontal="left" vertical="center"/>
      <protection/>
    </xf>
    <xf numFmtId="0" fontId="9" fillId="0" borderId="10" xfId="59" applyFont="1" applyBorder="1" applyAlignment="1">
      <alignment horizontal="left" vertical="center"/>
      <protection/>
    </xf>
    <xf numFmtId="4" fontId="0" fillId="0" borderId="10" xfId="59" applyNumberFormat="1" applyFont="1" applyFill="1" applyBorder="1" applyAlignment="1" applyProtection="1">
      <alignment vertical="center"/>
      <protection locked="0"/>
    </xf>
    <xf numFmtId="0" fontId="0" fillId="0" borderId="10" xfId="59" applyFont="1" applyFill="1" applyBorder="1" applyAlignment="1" applyProtection="1">
      <alignment vertical="center"/>
      <protection locked="0"/>
    </xf>
    <xf numFmtId="0" fontId="0" fillId="0" borderId="0" xfId="59" applyFont="1" applyAlignment="1">
      <alignment horizontal="center" vertical="center" wrapText="1"/>
      <protection/>
    </xf>
    <xf numFmtId="2" fontId="0" fillId="0" borderId="10" xfId="59" applyNumberFormat="1" applyFont="1" applyBorder="1" applyAlignment="1">
      <alignment vertical="center"/>
      <protection/>
    </xf>
    <xf numFmtId="0" fontId="18" fillId="0" borderId="0" xfId="59" applyFont="1" applyAlignment="1">
      <alignment vertical="center"/>
      <protection/>
    </xf>
    <xf numFmtId="0" fontId="21" fillId="0" borderId="0" xfId="59" applyFont="1" applyAlignment="1">
      <alignment vertical="center"/>
      <protection/>
    </xf>
    <xf numFmtId="169" fontId="1" fillId="0" borderId="10" xfId="59" applyNumberFormat="1" applyFont="1" applyFill="1" applyBorder="1" applyAlignment="1">
      <alignment horizontal="center" vertical="center" wrapText="1"/>
      <protection/>
    </xf>
    <xf numFmtId="0" fontId="0" fillId="0" borderId="10" xfId="58" applyFont="1" applyBorder="1" applyAlignment="1">
      <alignment vertical="center"/>
      <protection/>
    </xf>
    <xf numFmtId="11" fontId="0" fillId="0" borderId="10" xfId="58" applyNumberFormat="1" applyFont="1" applyBorder="1" applyAlignment="1">
      <alignment vertical="center"/>
      <protection/>
    </xf>
    <xf numFmtId="11" fontId="0" fillId="0" borderId="10" xfId="59" applyNumberFormat="1" applyFont="1" applyBorder="1" applyAlignment="1">
      <alignment horizontal="center" vertical="center"/>
      <protection/>
    </xf>
    <xf numFmtId="0" fontId="19" fillId="0" borderId="10" xfId="58" applyFont="1" applyFill="1" applyBorder="1" applyAlignment="1">
      <alignment vertical="center"/>
      <protection/>
    </xf>
    <xf numFmtId="11" fontId="19" fillId="0" borderId="10" xfId="58" applyNumberFormat="1" applyFont="1" applyFill="1" applyBorder="1" applyAlignment="1">
      <alignment vertical="center"/>
      <protection/>
    </xf>
    <xf numFmtId="11" fontId="0" fillId="0" borderId="0" xfId="58" applyNumberFormat="1" applyFont="1" applyBorder="1" applyAlignment="1">
      <alignment vertical="center"/>
      <protection/>
    </xf>
    <xf numFmtId="11" fontId="19" fillId="0" borderId="0" xfId="58" applyNumberFormat="1" applyFont="1" applyBorder="1" applyAlignment="1">
      <alignment vertical="center"/>
      <protection/>
    </xf>
    <xf numFmtId="0" fontId="0" fillId="0" borderId="10" xfId="58" applyFont="1" applyFill="1" applyBorder="1" applyAlignment="1">
      <alignment vertical="center"/>
      <protection/>
    </xf>
    <xf numFmtId="11" fontId="0" fillId="0" borderId="10" xfId="58" applyNumberFormat="1" applyFont="1" applyFill="1" applyBorder="1" applyAlignment="1">
      <alignment vertical="center"/>
      <protection/>
    </xf>
    <xf numFmtId="0" fontId="1" fillId="0" borderId="14" xfId="59" applyFont="1" applyBorder="1" applyAlignment="1">
      <alignment vertical="center"/>
      <protection/>
    </xf>
    <xf numFmtId="169" fontId="0" fillId="0" borderId="10" xfId="59" applyNumberFormat="1" applyFont="1" applyBorder="1" applyAlignment="1">
      <alignment vertical="center"/>
      <protection/>
    </xf>
    <xf numFmtId="0" fontId="19" fillId="0" borderId="10" xfId="58" applyFont="1" applyFill="1" applyBorder="1" applyAlignment="1">
      <alignment horizontal="center" vertical="center" wrapText="1"/>
      <protection/>
    </xf>
    <xf numFmtId="0" fontId="9" fillId="0" borderId="10" xfId="59" applyFont="1" applyBorder="1" applyAlignment="1">
      <alignment horizontal="center" vertical="center"/>
      <protection/>
    </xf>
    <xf numFmtId="0" fontId="1" fillId="0" borderId="0" xfId="0" applyFont="1" applyAlignment="1">
      <alignment horizontal="left" wrapText="1"/>
    </xf>
    <xf numFmtId="170" fontId="0" fillId="0" borderId="10" xfId="0" applyNumberFormat="1" applyFont="1" applyBorder="1" applyAlignment="1">
      <alignment horizontal="left"/>
    </xf>
    <xf numFmtId="43" fontId="0" fillId="0" borderId="10" xfId="42" applyNumberFormat="1" applyFont="1" applyBorder="1" applyAlignment="1">
      <alignment/>
    </xf>
    <xf numFmtId="43" fontId="0" fillId="0" borderId="10" xfId="42" applyFont="1" applyBorder="1" applyAlignment="1">
      <alignment horizontal="left"/>
    </xf>
    <xf numFmtId="11" fontId="0" fillId="0" borderId="10" xfId="42" applyNumberFormat="1" applyFont="1" applyBorder="1" applyAlignment="1">
      <alignment vertical="center"/>
    </xf>
    <xf numFmtId="0" fontId="10" fillId="0" borderId="0" xfId="0" applyFont="1" applyAlignment="1">
      <alignment vertical="center" wrapText="1"/>
    </xf>
    <xf numFmtId="11" fontId="5" fillId="0" borderId="0" xfId="42" applyNumberFormat="1" applyFont="1" applyAlignment="1">
      <alignment vertical="center"/>
    </xf>
    <xf numFmtId="0" fontId="0" fillId="0" borderId="15" xfId="0" applyFont="1" applyBorder="1" applyAlignment="1">
      <alignment horizontal="center" vertical="center" wrapText="1"/>
    </xf>
    <xf numFmtId="2" fontId="0" fillId="0" borderId="15" xfId="0" applyNumberFormat="1" applyBorder="1" applyAlignment="1">
      <alignment horizontal="center" vertical="center" wrapText="1"/>
    </xf>
    <xf numFmtId="11" fontId="0" fillId="0" borderId="15" xfId="0" applyNumberFormat="1" applyBorder="1" applyAlignment="1">
      <alignment horizontal="center" vertical="center" wrapText="1"/>
    </xf>
    <xf numFmtId="0" fontId="0" fillId="0" borderId="16" xfId="0" applyFont="1" applyBorder="1" applyAlignment="1">
      <alignment horizontal="center" vertical="center" wrapText="1"/>
    </xf>
    <xf numFmtId="11" fontId="0" fillId="0" borderId="16" xfId="0" applyNumberFormat="1" applyBorder="1" applyAlignment="1">
      <alignment horizontal="center" vertical="center" wrapText="1"/>
    </xf>
    <xf numFmtId="2" fontId="0" fillId="0" borderId="16" xfId="0" applyNumberFormat="1" applyBorder="1" applyAlignment="1">
      <alignment horizontal="center" vertical="center" wrapText="1"/>
    </xf>
    <xf numFmtId="2" fontId="0" fillId="0" borderId="0" xfId="0" applyNumberFormat="1" applyAlignment="1">
      <alignment horizontal="center" vertical="center" wrapText="1"/>
    </xf>
    <xf numFmtId="4" fontId="0" fillId="0" borderId="10" xfId="0" applyNumberFormat="1" applyBorder="1" applyAlignment="1">
      <alignment horizontal="center" vertical="center" wrapText="1"/>
    </xf>
    <xf numFmtId="4" fontId="0" fillId="0" borderId="16" xfId="0" applyNumberFormat="1" applyBorder="1" applyAlignment="1">
      <alignment horizontal="center" vertical="center" wrapText="1"/>
    </xf>
    <xf numFmtId="0" fontId="0" fillId="0" borderId="12" xfId="0" applyFont="1" applyBorder="1" applyAlignment="1">
      <alignment horizontal="center" vertical="center" wrapText="1"/>
    </xf>
    <xf numFmtId="0" fontId="0" fillId="0" borderId="16" xfId="0" applyBorder="1" applyAlignment="1">
      <alignment horizontal="center" vertical="center" wrapText="1"/>
    </xf>
    <xf numFmtId="0" fontId="1" fillId="0" borderId="10" xfId="0" applyFont="1" applyFill="1" applyBorder="1" applyAlignment="1">
      <alignment horizontal="center" vertical="center" wrapText="1"/>
    </xf>
    <xf numFmtId="4" fontId="0" fillId="0" borderId="10" xfId="0" applyNumberFormat="1" applyFont="1" applyBorder="1" applyAlignment="1">
      <alignment horizontal="right" vertical="center" wrapText="1"/>
    </xf>
    <xf numFmtId="166" fontId="0" fillId="0" borderId="10" xfId="42" applyNumberFormat="1" applyFont="1" applyBorder="1" applyAlignment="1">
      <alignment horizontal="right" vertical="center" wrapText="1"/>
    </xf>
    <xf numFmtId="43" fontId="0" fillId="0" borderId="10" xfId="0" applyNumberFormat="1" applyFont="1" applyBorder="1" applyAlignment="1">
      <alignment horizontal="right" vertical="center" wrapText="1"/>
    </xf>
    <xf numFmtId="172" fontId="0" fillId="0" borderId="10" xfId="0" applyNumberFormat="1" applyFont="1" applyBorder="1" applyAlignment="1">
      <alignment horizontal="right" vertical="center" wrapText="1"/>
    </xf>
    <xf numFmtId="0" fontId="0" fillId="0" borderId="17" xfId="0" applyFont="1" applyBorder="1" applyAlignment="1">
      <alignment vertical="center" wrapText="1"/>
    </xf>
    <xf numFmtId="1" fontId="0" fillId="0" borderId="10" xfId="0" applyNumberFormat="1" applyBorder="1" applyAlignment="1">
      <alignment vertical="center" wrapText="1"/>
    </xf>
    <xf numFmtId="0" fontId="0" fillId="0" borderId="0" xfId="0" applyFont="1" applyFill="1" applyBorder="1" applyAlignment="1">
      <alignment/>
    </xf>
    <xf numFmtId="11" fontId="0" fillId="0" borderId="10" xfId="0" applyNumberFormat="1" applyBorder="1" applyAlignment="1">
      <alignment horizontal="center"/>
    </xf>
    <xf numFmtId="2" fontId="0" fillId="0" borderId="10" xfId="0" applyNumberFormat="1" applyBorder="1" applyAlignment="1">
      <alignment horizontal="center"/>
    </xf>
    <xf numFmtId="169" fontId="0" fillId="0" borderId="10" xfId="0" applyNumberFormat="1" applyBorder="1" applyAlignment="1">
      <alignment horizontal="center"/>
    </xf>
    <xf numFmtId="2" fontId="0" fillId="0" borderId="12" xfId="0" applyNumberFormat="1" applyBorder="1" applyAlignment="1">
      <alignment horizontal="center" vertical="center" wrapText="1"/>
    </xf>
    <xf numFmtId="2" fontId="0" fillId="0" borderId="10" xfId="0" applyNumberFormat="1" applyBorder="1" applyAlignment="1">
      <alignment vertical="center" wrapText="1"/>
    </xf>
    <xf numFmtId="2" fontId="0" fillId="0" borderId="10" xfId="0" applyNumberFormat="1" applyFont="1" applyBorder="1" applyAlignment="1">
      <alignment vertical="center" wrapText="1"/>
    </xf>
    <xf numFmtId="1" fontId="0" fillId="0" borderId="10" xfId="0" applyNumberFormat="1" applyFont="1" applyBorder="1" applyAlignment="1" applyProtection="1">
      <alignment vertical="center"/>
      <protection locked="0"/>
    </xf>
    <xf numFmtId="0" fontId="9" fillId="0" borderId="0" xfId="0" applyFont="1" applyBorder="1" applyAlignment="1" applyProtection="1">
      <alignment vertical="center" wrapText="1"/>
      <protection locked="0"/>
    </xf>
    <xf numFmtId="164" fontId="0" fillId="0" borderId="10" xfId="62" applyNumberFormat="1" applyFont="1" applyBorder="1" applyAlignment="1" applyProtection="1">
      <alignment vertical="center"/>
      <protection locked="0"/>
    </xf>
    <xf numFmtId="1" fontId="0" fillId="0" borderId="10" xfId="0" applyNumberFormat="1" applyFont="1" applyBorder="1" applyAlignment="1">
      <alignment vertical="center"/>
    </xf>
    <xf numFmtId="43" fontId="0" fillId="0" borderId="10" xfId="42" applyNumberFormat="1" applyFont="1" applyFill="1" applyBorder="1" applyAlignment="1" applyProtection="1">
      <alignment vertical="center"/>
      <protection locked="0"/>
    </xf>
    <xf numFmtId="0" fontId="11"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18" xfId="0" applyFont="1" applyBorder="1" applyAlignment="1">
      <alignment horizontal="left" vertical="center"/>
    </xf>
    <xf numFmtId="0" fontId="9" fillId="0" borderId="0" xfId="59" applyFont="1" applyFill="1" applyBorder="1" applyAlignment="1">
      <alignment horizontal="left" vertical="center" wrapText="1"/>
      <protection/>
    </xf>
    <xf numFmtId="0" fontId="1" fillId="0" borderId="11" xfId="0" applyFont="1" applyBorder="1" applyAlignment="1">
      <alignment horizontal="center" vertical="center" wrapText="1"/>
    </xf>
    <xf numFmtId="0" fontId="1" fillId="0" borderId="10" xfId="0" applyFont="1" applyBorder="1" applyAlignment="1">
      <alignment vertical="center" wrapText="1"/>
    </xf>
    <xf numFmtId="2" fontId="0" fillId="0" borderId="0" xfId="0" applyNumberFormat="1" applyAlignment="1">
      <alignment vertical="center" wrapText="1"/>
    </xf>
    <xf numFmtId="169" fontId="0" fillId="0" borderId="0" xfId="0" applyNumberFormat="1" applyAlignment="1">
      <alignment vertical="center" wrapText="1"/>
    </xf>
    <xf numFmtId="11" fontId="0" fillId="0" borderId="10" xfId="0" applyNumberFormat="1" applyFont="1" applyBorder="1" applyAlignment="1">
      <alignment horizontal="right" vertical="center" wrapText="1"/>
    </xf>
    <xf numFmtId="0" fontId="0" fillId="0" borderId="14" xfId="0" applyFont="1" applyBorder="1" applyAlignment="1">
      <alignment horizontal="left" vertical="center" wrapText="1"/>
    </xf>
    <xf numFmtId="9" fontId="0" fillId="0" borderId="10" xfId="0" applyNumberFormat="1" applyFont="1" applyBorder="1" applyAlignment="1">
      <alignment horizontal="right" vertical="center" wrapText="1"/>
    </xf>
    <xf numFmtId="11" fontId="0" fillId="0" borderId="10" xfId="0" applyNumberFormat="1" applyFont="1" applyBorder="1" applyAlignment="1">
      <alignment vertical="center" wrapText="1"/>
    </xf>
    <xf numFmtId="11" fontId="0" fillId="24" borderId="10" xfId="0" applyNumberFormat="1" applyFont="1" applyFill="1" applyBorder="1" applyAlignment="1">
      <alignment vertical="center" wrapText="1"/>
    </xf>
    <xf numFmtId="0" fontId="0" fillId="0" borderId="0" xfId="0" applyFont="1" applyBorder="1" applyAlignment="1">
      <alignment vertical="center" wrapText="1"/>
    </xf>
    <xf numFmtId="9" fontId="0" fillId="0" borderId="0" xfId="62" applyFont="1" applyBorder="1" applyAlignment="1">
      <alignment vertical="center"/>
    </xf>
    <xf numFmtId="179" fontId="0" fillId="0" borderId="10" xfId="0" applyNumberFormat="1" applyFont="1" applyBorder="1" applyAlignment="1">
      <alignment horizontal="right" vertical="center" wrapText="1"/>
    </xf>
    <xf numFmtId="11" fontId="0" fillId="0" borderId="10" xfId="0" applyNumberFormat="1" applyFont="1" applyBorder="1" applyAlignment="1">
      <alignment horizontal="right" vertical="center"/>
    </xf>
    <xf numFmtId="179" fontId="0" fillId="0" borderId="10" xfId="0" applyNumberFormat="1" applyFont="1" applyBorder="1" applyAlignment="1">
      <alignment vertical="center" wrapText="1"/>
    </xf>
    <xf numFmtId="179" fontId="0" fillId="0" borderId="10" xfId="0" applyNumberFormat="1" applyFont="1" applyBorder="1" applyAlignment="1">
      <alignment vertical="center"/>
    </xf>
    <xf numFmtId="179" fontId="0" fillId="0" borderId="0" xfId="0" applyNumberFormat="1" applyFont="1" applyBorder="1" applyAlignment="1">
      <alignment horizontal="right" vertical="center" wrapText="1"/>
    </xf>
    <xf numFmtId="11" fontId="0" fillId="0" borderId="0" xfId="0" applyNumberFormat="1" applyFont="1" applyBorder="1" applyAlignment="1">
      <alignment horizontal="right" vertical="center"/>
    </xf>
    <xf numFmtId="0" fontId="0" fillId="0" borderId="0" xfId="0" applyFont="1" applyBorder="1" applyAlignment="1">
      <alignment horizontal="center" vertical="center" wrapText="1"/>
    </xf>
    <xf numFmtId="0" fontId="9" fillId="0" borderId="0" xfId="0" applyFont="1" applyBorder="1" applyAlignment="1">
      <alignment vertical="center" wrapText="1"/>
    </xf>
    <xf numFmtId="11" fontId="0" fillId="0" borderId="0" xfId="0" applyNumberFormat="1" applyFont="1" applyBorder="1" applyAlignment="1">
      <alignment horizontal="center" vertical="center"/>
    </xf>
    <xf numFmtId="0" fontId="0" fillId="24" borderId="10" xfId="0" applyFont="1" applyFill="1" applyBorder="1" applyAlignment="1">
      <alignment horizontal="right" vertical="center" wrapText="1"/>
    </xf>
    <xf numFmtId="170" fontId="0" fillId="0" borderId="10" xfId="0" applyNumberFormat="1" applyFont="1" applyBorder="1" applyAlignment="1">
      <alignment vertical="center" wrapText="1"/>
    </xf>
    <xf numFmtId="11" fontId="0" fillId="24" borderId="10" xfId="0" applyNumberFormat="1" applyFont="1" applyFill="1" applyBorder="1" applyAlignment="1">
      <alignment horizontal="right" vertical="center" wrapText="1"/>
    </xf>
    <xf numFmtId="0" fontId="1" fillId="0" borderId="10" xfId="59" applyFont="1" applyBorder="1" applyAlignment="1">
      <alignment vertical="center"/>
      <protection/>
    </xf>
    <xf numFmtId="179" fontId="1" fillId="0" borderId="10" xfId="59" applyNumberFormat="1" applyFont="1" applyBorder="1" applyAlignment="1">
      <alignment horizontal="center" vertical="center"/>
      <protection/>
    </xf>
    <xf numFmtId="181" fontId="0" fillId="0" borderId="10" xfId="59" applyNumberFormat="1" applyFont="1" applyFill="1" applyBorder="1" applyAlignment="1" applyProtection="1">
      <alignment vertical="center"/>
      <protection locked="0"/>
    </xf>
    <xf numFmtId="170" fontId="0" fillId="0" borderId="10" xfId="59" applyNumberFormat="1" applyFont="1" applyBorder="1" applyAlignment="1">
      <alignment vertical="center"/>
      <protection/>
    </xf>
    <xf numFmtId="185" fontId="19" fillId="0" borderId="10" xfId="58" applyNumberFormat="1" applyFont="1" applyFill="1" applyBorder="1" applyAlignment="1">
      <alignment vertical="center"/>
      <protection/>
    </xf>
    <xf numFmtId="0" fontId="0" fillId="0" borderId="10" xfId="0" applyFont="1" applyBorder="1" applyAlignment="1">
      <alignment horizontal="left" wrapText="1"/>
    </xf>
    <xf numFmtId="9" fontId="0" fillId="0" borderId="10" xfId="62" applyFont="1" applyBorder="1" applyAlignment="1">
      <alignment horizontal="right" wrapText="1"/>
    </xf>
    <xf numFmtId="43" fontId="0" fillId="0" borderId="10" xfId="0" applyNumberFormat="1" applyFont="1" applyBorder="1" applyAlignment="1">
      <alignment horizontal="left"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vertical="center" wrapText="1"/>
    </xf>
    <xf numFmtId="4" fontId="0" fillId="0" borderId="10"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19" xfId="0" applyNumberFormat="1" applyFont="1" applyBorder="1" applyAlignment="1">
      <alignment horizontal="center" vertical="center" wrapText="1"/>
    </xf>
    <xf numFmtId="2" fontId="0" fillId="0" borderId="10" xfId="0" applyNumberFormat="1" applyFont="1" applyFill="1" applyBorder="1" applyAlignment="1">
      <alignment horizontal="center" vertical="center" wrapText="1"/>
    </xf>
    <xf numFmtId="11" fontId="0" fillId="0" borderId="10" xfId="0" applyNumberFormat="1" applyFont="1" applyFill="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2" fontId="0" fillId="0" borderId="10" xfId="0" applyNumberFormat="1" applyFont="1" applyBorder="1" applyAlignment="1">
      <alignment horizontal="center" vertical="center" wrapText="1"/>
    </xf>
    <xf numFmtId="11" fontId="0" fillId="0" borderId="10" xfId="0" applyNumberFormat="1" applyFont="1" applyFill="1" applyBorder="1" applyAlignment="1">
      <alignment vertical="center"/>
    </xf>
    <xf numFmtId="11" fontId="0" fillId="0" borderId="10" xfId="0" applyNumberFormat="1" applyFont="1" applyFill="1" applyBorder="1" applyAlignment="1">
      <alignment horizontal="right" vertical="center"/>
    </xf>
    <xf numFmtId="2" fontId="0" fillId="0" borderId="10" xfId="0" applyNumberFormat="1" applyFont="1" applyBorder="1" applyAlignment="1">
      <alignment horizontal="center" vertical="center"/>
    </xf>
    <xf numFmtId="2" fontId="0" fillId="0" borderId="0" xfId="0" applyNumberFormat="1" applyFont="1" applyAlignment="1">
      <alignment horizontal="center" vertical="center"/>
    </xf>
    <xf numFmtId="169" fontId="0" fillId="0" borderId="10" xfId="0" applyNumberFormat="1" applyFont="1" applyBorder="1" applyAlignment="1">
      <alignment horizontal="center" vertical="center" wrapText="1"/>
    </xf>
    <xf numFmtId="170" fontId="0" fillId="0" borderId="10" xfId="0" applyNumberFormat="1" applyFont="1" applyBorder="1" applyAlignment="1">
      <alignment horizontal="center" vertical="center" wrapText="1"/>
    </xf>
    <xf numFmtId="171" fontId="0" fillId="0" borderId="10" xfId="0" applyNumberFormat="1" applyFont="1" applyBorder="1" applyAlignment="1">
      <alignment horizontal="center" vertical="center" wrapText="1"/>
    </xf>
    <xf numFmtId="9" fontId="0" fillId="0" borderId="10" xfId="0" applyNumberFormat="1" applyBorder="1" applyAlignment="1">
      <alignment horizontal="center" vertical="center" wrapText="1"/>
    </xf>
    <xf numFmtId="170" fontId="0" fillId="0" borderId="10" xfId="0" applyNumberFormat="1" applyBorder="1" applyAlignment="1">
      <alignment horizontal="center" vertical="center" wrapText="1"/>
    </xf>
    <xf numFmtId="0" fontId="1" fillId="0" borderId="20" xfId="0" applyFont="1" applyBorder="1" applyAlignment="1">
      <alignment horizontal="center" vertical="center" wrapText="1"/>
    </xf>
    <xf numFmtId="9" fontId="0" fillId="0" borderId="15" xfId="0" applyNumberFormat="1" applyBorder="1" applyAlignment="1">
      <alignment horizontal="center" vertical="center" wrapText="1"/>
    </xf>
    <xf numFmtId="0" fontId="0" fillId="0" borderId="15" xfId="0" applyBorder="1" applyAlignment="1">
      <alignment horizontal="center" vertical="center" wrapText="1"/>
    </xf>
    <xf numFmtId="9" fontId="0" fillId="0" borderId="16" xfId="0" applyNumberFormat="1" applyBorder="1" applyAlignment="1">
      <alignment horizontal="center" vertical="center" wrapText="1"/>
    </xf>
    <xf numFmtId="1" fontId="0" fillId="0" borderId="10" xfId="0" applyNumberFormat="1" applyFont="1" applyBorder="1" applyAlignment="1">
      <alignment vertical="center" wrapText="1"/>
    </xf>
    <xf numFmtId="4" fontId="0" fillId="0" borderId="0" xfId="0" applyNumberFormat="1" applyAlignment="1">
      <alignment vertical="center" wrapText="1"/>
    </xf>
    <xf numFmtId="11" fontId="0" fillId="0" borderId="0" xfId="0" applyNumberFormat="1" applyAlignment="1">
      <alignment vertical="center" wrapText="1"/>
    </xf>
    <xf numFmtId="0" fontId="1" fillId="0" borderId="18" xfId="0" applyFont="1" applyBorder="1" applyAlignment="1">
      <alignment horizontal="center" vertical="center" wrapText="1"/>
    </xf>
    <xf numFmtId="0" fontId="9" fillId="0" borderId="0" xfId="0" applyFont="1" applyAlignment="1">
      <alignment vertical="center" wrapText="1"/>
    </xf>
    <xf numFmtId="0" fontId="1" fillId="0" borderId="21" xfId="0" applyFont="1" applyBorder="1" applyAlignment="1">
      <alignment vertical="center" wrapText="1"/>
    </xf>
    <xf numFmtId="0" fontId="1" fillId="0" borderId="0" xfId="0" applyFont="1" applyBorder="1" applyAlignment="1">
      <alignment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170" fontId="0" fillId="0" borderId="0" xfId="0" applyNumberFormat="1" applyAlignment="1">
      <alignment vertical="center" wrapText="1"/>
    </xf>
    <xf numFmtId="0" fontId="0" fillId="30" borderId="0" xfId="0" applyFill="1" applyAlignment="1">
      <alignment vertical="center" wrapText="1"/>
    </xf>
    <xf numFmtId="0" fontId="0" fillId="30" borderId="10" xfId="0" applyFill="1" applyBorder="1" applyAlignment="1">
      <alignment vertical="center" wrapText="1"/>
    </xf>
    <xf numFmtId="0" fontId="0" fillId="30" borderId="15" xfId="0" applyFont="1" applyFill="1" applyBorder="1" applyAlignment="1">
      <alignment horizontal="center" vertical="center" wrapText="1"/>
    </xf>
    <xf numFmtId="2" fontId="0" fillId="30" borderId="15" xfId="0" applyNumberFormat="1" applyFill="1" applyBorder="1" applyAlignment="1">
      <alignment horizontal="center" vertical="center" wrapText="1"/>
    </xf>
    <xf numFmtId="11" fontId="0" fillId="30" borderId="15" xfId="0" applyNumberFormat="1" applyFill="1" applyBorder="1" applyAlignment="1">
      <alignment horizontal="center" vertical="center" wrapText="1"/>
    </xf>
    <xf numFmtId="0" fontId="0" fillId="30" borderId="10" xfId="0" applyFont="1" applyFill="1" applyBorder="1" applyAlignment="1">
      <alignment horizontal="center" vertical="center" wrapText="1"/>
    </xf>
    <xf numFmtId="2" fontId="0" fillId="30" borderId="10" xfId="0" applyNumberFormat="1" applyFill="1" applyBorder="1" applyAlignment="1">
      <alignment horizontal="center" vertical="center" wrapText="1"/>
    </xf>
    <xf numFmtId="11" fontId="0" fillId="30" borderId="10" xfId="0" applyNumberFormat="1" applyFill="1" applyBorder="1" applyAlignment="1">
      <alignment horizontal="center" vertical="center" wrapText="1"/>
    </xf>
    <xf numFmtId="0" fontId="0" fillId="30" borderId="18" xfId="0" applyFont="1" applyFill="1" applyBorder="1" applyAlignment="1">
      <alignment horizontal="center" vertical="center" wrapText="1"/>
    </xf>
    <xf numFmtId="2" fontId="0" fillId="30" borderId="18" xfId="0" applyNumberFormat="1" applyFill="1" applyBorder="1" applyAlignment="1">
      <alignment horizontal="center" vertical="center" wrapText="1"/>
    </xf>
    <xf numFmtId="11" fontId="0" fillId="30" borderId="18" xfId="0" applyNumberFormat="1" applyFill="1" applyBorder="1" applyAlignment="1">
      <alignment horizontal="center" vertical="center" wrapText="1"/>
    </xf>
    <xf numFmtId="0" fontId="0" fillId="30" borderId="16" xfId="0" applyFont="1" applyFill="1" applyBorder="1" applyAlignment="1">
      <alignment horizontal="center" vertical="center" wrapText="1"/>
    </xf>
    <xf numFmtId="2" fontId="0" fillId="30" borderId="16" xfId="0" applyNumberFormat="1" applyFill="1" applyBorder="1" applyAlignment="1">
      <alignment horizontal="center" vertical="center" wrapText="1"/>
    </xf>
    <xf numFmtId="11" fontId="0" fillId="30" borderId="16" xfId="0" applyNumberFormat="1" applyFill="1" applyBorder="1" applyAlignment="1">
      <alignment horizontal="center" vertical="center" wrapText="1"/>
    </xf>
    <xf numFmtId="2" fontId="0" fillId="30" borderId="12" xfId="0" applyNumberFormat="1" applyFill="1" applyBorder="1" applyAlignment="1">
      <alignment horizontal="center" vertical="center" wrapText="1"/>
    </xf>
    <xf numFmtId="0" fontId="0" fillId="30" borderId="0" xfId="0" applyFill="1" applyAlignment="1">
      <alignment horizontal="center" vertical="center" wrapText="1"/>
    </xf>
    <xf numFmtId="164" fontId="0" fillId="30" borderId="10" xfId="0" applyNumberFormat="1" applyFill="1" applyBorder="1" applyAlignment="1">
      <alignment vertical="center"/>
    </xf>
    <xf numFmtId="0" fontId="0" fillId="30" borderId="0" xfId="0" applyFill="1" applyAlignment="1">
      <alignment vertical="center"/>
    </xf>
    <xf numFmtId="0" fontId="0" fillId="30" borderId="18" xfId="0" applyFill="1" applyBorder="1" applyAlignment="1">
      <alignment vertical="center"/>
    </xf>
    <xf numFmtId="0" fontId="18" fillId="30" borderId="10" xfId="0" applyFont="1" applyFill="1" applyBorder="1" applyAlignment="1">
      <alignment horizontal="center" vertical="center" wrapText="1"/>
    </xf>
    <xf numFmtId="0" fontId="1" fillId="30" borderId="10" xfId="0" applyFont="1" applyFill="1" applyBorder="1" applyAlignment="1">
      <alignment horizontal="center" vertical="center" wrapText="1"/>
    </xf>
    <xf numFmtId="0" fontId="0" fillId="30" borderId="10" xfId="0" applyFont="1" applyFill="1" applyBorder="1" applyAlignment="1">
      <alignment vertical="center"/>
    </xf>
    <xf numFmtId="2" fontId="0" fillId="30" borderId="10" xfId="0" applyNumberFormat="1" applyFont="1" applyFill="1" applyBorder="1" applyAlignment="1">
      <alignment vertical="center"/>
    </xf>
    <xf numFmtId="0" fontId="0" fillId="30" borderId="10" xfId="0" applyFill="1" applyBorder="1" applyAlignment="1">
      <alignment vertical="center"/>
    </xf>
    <xf numFmtId="0" fontId="0" fillId="30" borderId="0" xfId="0" applyFont="1" applyFill="1" applyAlignment="1">
      <alignment vertical="center"/>
    </xf>
    <xf numFmtId="0" fontId="1" fillId="30" borderId="0" xfId="0" applyFont="1" applyFill="1" applyAlignment="1">
      <alignment horizontal="center" vertical="center"/>
    </xf>
    <xf numFmtId="2" fontId="0" fillId="30" borderId="10" xfId="0" applyNumberFormat="1" applyFill="1" applyBorder="1" applyAlignment="1">
      <alignment vertical="center"/>
    </xf>
    <xf numFmtId="0" fontId="0" fillId="30" borderId="0" xfId="0" applyFill="1" applyBorder="1" applyAlignment="1">
      <alignment vertical="center"/>
    </xf>
    <xf numFmtId="164" fontId="0" fillId="30" borderId="0" xfId="0" applyNumberFormat="1" applyFill="1" applyBorder="1" applyAlignment="1">
      <alignment vertical="center"/>
    </xf>
    <xf numFmtId="0" fontId="0" fillId="30" borderId="0" xfId="0" applyFill="1" applyAlignment="1">
      <alignment/>
    </xf>
    <xf numFmtId="0" fontId="11" fillId="30" borderId="0" xfId="0" applyFont="1" applyFill="1" applyAlignment="1">
      <alignment horizontal="center" wrapText="1"/>
    </xf>
    <xf numFmtId="0" fontId="11" fillId="30" borderId="0" xfId="0" applyFont="1" applyFill="1" applyAlignment="1">
      <alignment horizontal="center"/>
    </xf>
    <xf numFmtId="0" fontId="11" fillId="30" borderId="0" xfId="0" applyFont="1" applyFill="1" applyAlignment="1">
      <alignment/>
    </xf>
    <xf numFmtId="0" fontId="1" fillId="30" borderId="10" xfId="0" applyFont="1" applyFill="1" applyBorder="1" applyAlignment="1">
      <alignment horizontal="center"/>
    </xf>
    <xf numFmtId="0" fontId="1" fillId="30" borderId="10" xfId="0" applyFont="1" applyFill="1" applyBorder="1" applyAlignment="1">
      <alignment wrapText="1"/>
    </xf>
    <xf numFmtId="0" fontId="0" fillId="30" borderId="10" xfId="0" applyFill="1" applyBorder="1" applyAlignment="1">
      <alignment/>
    </xf>
    <xf numFmtId="1" fontId="0" fillId="30" borderId="10" xfId="0" applyNumberFormat="1" applyFill="1" applyBorder="1" applyAlignment="1">
      <alignment/>
    </xf>
    <xf numFmtId="0" fontId="1" fillId="30" borderId="10" xfId="0" applyFont="1" applyFill="1" applyBorder="1" applyAlignment="1">
      <alignment/>
    </xf>
    <xf numFmtId="0" fontId="1" fillId="30" borderId="0" xfId="0" applyFont="1" applyFill="1" applyAlignment="1">
      <alignment/>
    </xf>
    <xf numFmtId="0" fontId="0" fillId="30" borderId="0" xfId="0" applyFill="1" applyAlignment="1">
      <alignment/>
    </xf>
    <xf numFmtId="0" fontId="12" fillId="30" borderId="0" xfId="0" applyFont="1" applyFill="1" applyAlignment="1">
      <alignment/>
    </xf>
    <xf numFmtId="0" fontId="1" fillId="30" borderId="0" xfId="0" applyFont="1" applyFill="1" applyAlignment="1">
      <alignment horizontal="center"/>
    </xf>
    <xf numFmtId="0" fontId="0" fillId="30" borderId="10" xfId="0" applyFill="1" applyBorder="1" applyAlignment="1">
      <alignment/>
    </xf>
    <xf numFmtId="0" fontId="0" fillId="30" borderId="10" xfId="0" applyFill="1" applyBorder="1" applyAlignment="1">
      <alignment horizontal="center"/>
    </xf>
    <xf numFmtId="0" fontId="0" fillId="30" borderId="10" xfId="0" applyFont="1" applyFill="1" applyBorder="1" applyAlignment="1">
      <alignment horizontal="center"/>
    </xf>
    <xf numFmtId="0" fontId="0" fillId="30" borderId="10" xfId="0" applyFont="1" applyFill="1" applyBorder="1" applyAlignment="1">
      <alignment/>
    </xf>
    <xf numFmtId="164" fontId="0" fillId="30" borderId="10" xfId="0" applyNumberFormat="1" applyFill="1" applyBorder="1" applyAlignment="1">
      <alignment horizontal="right"/>
    </xf>
    <xf numFmtId="0" fontId="0" fillId="30" borderId="10" xfId="0" applyFill="1" applyBorder="1" applyAlignment="1">
      <alignment horizontal="right"/>
    </xf>
    <xf numFmtId="0" fontId="0" fillId="30" borderId="0" xfId="0" applyFill="1" applyAlignment="1">
      <alignment horizontal="center"/>
    </xf>
    <xf numFmtId="164" fontId="0" fillId="30" borderId="0" xfId="0" applyNumberFormat="1" applyFill="1" applyAlignment="1">
      <alignment horizontal="center"/>
    </xf>
    <xf numFmtId="1" fontId="0" fillId="30" borderId="0" xfId="0" applyNumberFormat="1" applyFill="1" applyAlignment="1">
      <alignment/>
    </xf>
    <xf numFmtId="164" fontId="0" fillId="30" borderId="0" xfId="0" applyNumberFormat="1" applyFill="1" applyAlignment="1">
      <alignment/>
    </xf>
    <xf numFmtId="0" fontId="1" fillId="30" borderId="0" xfId="0" applyFont="1" applyFill="1" applyAlignment="1">
      <alignment horizontal="left"/>
    </xf>
    <xf numFmtId="1" fontId="1" fillId="30" borderId="0" xfId="0" applyNumberFormat="1" applyFont="1" applyFill="1" applyAlignment="1">
      <alignment/>
    </xf>
    <xf numFmtId="0" fontId="1" fillId="30" borderId="0" xfId="0" applyFont="1" applyFill="1" applyAlignment="1">
      <alignment vertical="center" wrapText="1"/>
    </xf>
    <xf numFmtId="9" fontId="0" fillId="30" borderId="10" xfId="0" applyNumberFormat="1" applyFill="1" applyBorder="1" applyAlignment="1">
      <alignment vertical="center" wrapText="1"/>
    </xf>
    <xf numFmtId="0" fontId="1" fillId="0" borderId="11" xfId="0" applyFont="1" applyFill="1" applyBorder="1" applyAlignment="1">
      <alignment horizontal="center" vertical="center" wrapText="1"/>
    </xf>
    <xf numFmtId="43" fontId="0" fillId="0" borderId="0" xfId="0" applyNumberFormat="1" applyFont="1" applyBorder="1" applyAlignment="1">
      <alignment vertical="center"/>
    </xf>
    <xf numFmtId="0" fontId="1" fillId="0" borderId="10" xfId="0" applyFont="1" applyBorder="1" applyAlignment="1">
      <alignment horizontal="center" vertical="center"/>
    </xf>
    <xf numFmtId="0" fontId="0" fillId="24" borderId="10" xfId="0" applyFont="1" applyFill="1" applyBorder="1" applyAlignment="1">
      <alignment vertical="center"/>
    </xf>
    <xf numFmtId="0" fontId="1" fillId="0" borderId="12" xfId="0" applyFont="1" applyBorder="1" applyAlignment="1">
      <alignment horizontal="center"/>
    </xf>
    <xf numFmtId="169" fontId="0" fillId="0" borderId="10" xfId="0" applyNumberFormat="1" applyBorder="1" applyAlignment="1">
      <alignment/>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9" xfId="0" applyFont="1" applyBorder="1" applyAlignment="1">
      <alignment horizontal="center" vertical="center" wrapText="1"/>
    </xf>
    <xf numFmtId="2" fontId="0" fillId="0" borderId="11" xfId="0" applyNumberFormat="1" applyFont="1" applyBorder="1" applyAlignment="1" quotePrefix="1">
      <alignment horizontal="center"/>
    </xf>
    <xf numFmtId="2" fontId="0" fillId="0" borderId="0" xfId="0" applyNumberFormat="1" applyBorder="1" applyAlignment="1">
      <alignment horizontal="center" vertical="center" wrapText="1"/>
    </xf>
    <xf numFmtId="11" fontId="0" fillId="0" borderId="0" xfId="0" applyNumberFormat="1" applyBorder="1" applyAlignment="1">
      <alignment horizontal="center" vertical="center" wrapText="1"/>
    </xf>
    <xf numFmtId="170" fontId="0" fillId="0" borderId="12" xfId="0" applyNumberFormat="1" applyBorder="1" applyAlignment="1">
      <alignment horizontal="center" vertical="center" wrapText="1"/>
    </xf>
    <xf numFmtId="170" fontId="0" fillId="0" borderId="16" xfId="0" applyNumberFormat="1" applyBorder="1" applyAlignment="1">
      <alignment horizontal="center" vertical="center" wrapText="1"/>
    </xf>
    <xf numFmtId="0" fontId="0" fillId="24" borderId="10" xfId="0" applyFill="1" applyBorder="1" applyAlignment="1">
      <alignment horizontal="center" vertical="center" wrapText="1"/>
    </xf>
    <xf numFmtId="0" fontId="0" fillId="24" borderId="16" xfId="0" applyFill="1" applyBorder="1" applyAlignment="1">
      <alignment horizontal="center" vertical="center" wrapText="1"/>
    </xf>
    <xf numFmtId="0" fontId="0" fillId="24" borderId="16" xfId="0" applyFont="1" applyFill="1" applyBorder="1" applyAlignment="1">
      <alignment horizontal="center" vertical="center" wrapText="1"/>
    </xf>
    <xf numFmtId="0" fontId="0" fillId="24" borderId="10" xfId="0" applyFont="1" applyFill="1" applyBorder="1" applyAlignment="1">
      <alignment horizontal="center" vertical="center" wrapText="1"/>
    </xf>
    <xf numFmtId="9" fontId="0" fillId="0" borderId="0" xfId="0" applyNumberFormat="1" applyBorder="1" applyAlignment="1">
      <alignment horizontal="center" vertical="center" wrapText="1"/>
    </xf>
    <xf numFmtId="0" fontId="0" fillId="0" borderId="0" xfId="0" applyAlignment="1">
      <alignment horizontal="left"/>
    </xf>
    <xf numFmtId="0" fontId="0" fillId="0" borderId="10" xfId="59" applyFont="1" applyFill="1" applyBorder="1" applyAlignment="1">
      <alignment vertical="center"/>
      <protection/>
    </xf>
    <xf numFmtId="0" fontId="15" fillId="0" borderId="10" xfId="53" applyBorder="1" applyAlignment="1" applyProtection="1">
      <alignment vertical="center"/>
      <protection/>
    </xf>
    <xf numFmtId="0" fontId="0" fillId="0" borderId="10" xfId="0" applyBorder="1" applyAlignment="1">
      <alignment horizontal="left" vertical="center"/>
    </xf>
    <xf numFmtId="0" fontId="11" fillId="0" borderId="0" xfId="0" applyFont="1" applyAlignment="1">
      <alignment vertical="center"/>
    </xf>
    <xf numFmtId="2" fontId="0" fillId="0" borderId="15" xfId="0" applyNumberFormat="1" applyFill="1" applyBorder="1" applyAlignment="1">
      <alignment horizontal="center" vertical="center" wrapText="1"/>
    </xf>
    <xf numFmtId="0" fontId="0" fillId="0" borderId="15" xfId="0" applyFont="1" applyFill="1" applyBorder="1" applyAlignment="1">
      <alignment horizontal="center" vertical="center" wrapText="1"/>
    </xf>
    <xf numFmtId="2" fontId="0" fillId="0" borderId="12" xfId="0" applyNumberFormat="1" applyFill="1" applyBorder="1" applyAlignment="1">
      <alignment horizontal="center" vertical="center" wrapText="1"/>
    </xf>
    <xf numFmtId="0" fontId="0" fillId="30" borderId="20" xfId="0" applyFill="1" applyBorder="1" applyAlignment="1">
      <alignment horizontal="center" vertical="center" wrapText="1"/>
    </xf>
    <xf numFmtId="0" fontId="0" fillId="30" borderId="12" xfId="0" applyFill="1" applyBorder="1" applyAlignment="1">
      <alignment horizontal="center" vertical="center" wrapText="1"/>
    </xf>
    <xf numFmtId="0" fontId="0" fillId="0" borderId="0" xfId="0" applyBorder="1" applyAlignment="1">
      <alignment horizontal="left"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0" xfId="59" applyFont="1" applyBorder="1" applyAlignment="1">
      <alignment vertical="center"/>
      <protection/>
    </xf>
    <xf numFmtId="11" fontId="0" fillId="0" borderId="10" xfId="59" applyNumberFormat="1" applyFont="1" applyBorder="1" applyAlignment="1">
      <alignment horizontal="center" vertical="center" wrapText="1"/>
      <protection/>
    </xf>
    <xf numFmtId="0" fontId="0" fillId="0" borderId="10" xfId="59" applyFont="1" applyBorder="1" applyAlignment="1">
      <alignment horizontal="center" vertical="center"/>
      <protection/>
    </xf>
    <xf numFmtId="0" fontId="0" fillId="0" borderId="10" xfId="0" applyFont="1" applyBorder="1" applyAlignment="1">
      <alignment vertical="center" wrapText="1"/>
    </xf>
    <xf numFmtId="2" fontId="0" fillId="0" borderId="20" xfId="0" applyNumberFormat="1" applyBorder="1" applyAlignment="1">
      <alignment horizontal="center" vertical="center" wrapText="1"/>
    </xf>
    <xf numFmtId="0" fontId="0" fillId="0" borderId="20"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164" fontId="19" fillId="0" borderId="10" xfId="0" applyNumberFormat="1" applyFont="1" applyBorder="1" applyAlignment="1">
      <alignment horizontal="right" vertical="center" wrapText="1"/>
    </xf>
    <xf numFmtId="2" fontId="0" fillId="0" borderId="18" xfId="0" applyNumberFormat="1" applyBorder="1" applyAlignment="1">
      <alignment horizontal="center" vertical="center" wrapText="1"/>
    </xf>
    <xf numFmtId="0" fontId="0" fillId="0" borderId="18" xfId="0" applyFont="1" applyBorder="1" applyAlignment="1">
      <alignment horizontal="center" vertical="center" wrapText="1"/>
    </xf>
    <xf numFmtId="0" fontId="0" fillId="24" borderId="18" xfId="0" applyFill="1" applyBorder="1" applyAlignment="1">
      <alignment horizontal="center" vertical="center" wrapText="1"/>
    </xf>
    <xf numFmtId="169" fontId="0" fillId="0" borderId="18" xfId="0" applyNumberFormat="1" applyBorder="1" applyAlignment="1">
      <alignment horizontal="center" vertical="center" wrapText="1"/>
    </xf>
    <xf numFmtId="169" fontId="0" fillId="0" borderId="16" xfId="0" applyNumberFormat="1" applyBorder="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2" fontId="19" fillId="0" borderId="10" xfId="0" applyNumberFormat="1" applyFont="1" applyBorder="1" applyAlignment="1">
      <alignment horizontal="center" vertical="center" wrapText="1"/>
    </xf>
    <xf numFmtId="0" fontId="0" fillId="0" borderId="10" xfId="59" applyFont="1" applyBorder="1" applyAlignment="1">
      <alignment vertical="center"/>
      <protection/>
    </xf>
    <xf numFmtId="0" fontId="0" fillId="0" borderId="10" xfId="59" applyFont="1" applyBorder="1" applyAlignment="1">
      <alignment vertical="center" wrapText="1"/>
      <protection/>
    </xf>
    <xf numFmtId="0" fontId="0" fillId="0" borderId="10" xfId="59" applyFont="1" applyBorder="1" applyAlignment="1">
      <alignment vertical="center" wrapText="1"/>
      <protection/>
    </xf>
    <xf numFmtId="171" fontId="0" fillId="0" borderId="10" xfId="59" applyNumberFormat="1" applyFont="1" applyBorder="1" applyAlignment="1">
      <alignment vertical="center"/>
      <protection/>
    </xf>
    <xf numFmtId="171" fontId="0" fillId="0" borderId="16" xfId="0" applyNumberFormat="1" applyBorder="1" applyAlignment="1">
      <alignment horizontal="center" vertical="center" wrapText="1"/>
    </xf>
    <xf numFmtId="170" fontId="0" fillId="30" borderId="10" xfId="0" applyNumberFormat="1" applyFill="1" applyBorder="1" applyAlignment="1">
      <alignment horizontal="center" vertical="center" wrapText="1"/>
    </xf>
    <xf numFmtId="0" fontId="0" fillId="0" borderId="10" xfId="0" applyFont="1" applyBorder="1" applyAlignment="1">
      <alignment vertical="center"/>
    </xf>
    <xf numFmtId="183" fontId="0" fillId="0" borderId="10" xfId="0" applyNumberFormat="1" applyFont="1" applyBorder="1" applyAlignment="1">
      <alignment horizontal="center" vertical="center" wrapText="1"/>
    </xf>
    <xf numFmtId="0" fontId="0" fillId="0" borderId="0" xfId="0" applyFont="1" applyAlignment="1">
      <alignment vertical="center"/>
    </xf>
    <xf numFmtId="0" fontId="0" fillId="30" borderId="0" xfId="0" applyFill="1" applyBorder="1" applyAlignment="1">
      <alignment horizontal="left" vertical="center" wrapText="1"/>
    </xf>
    <xf numFmtId="2" fontId="1" fillId="30" borderId="10" xfId="0" applyNumberFormat="1" applyFont="1" applyFill="1" applyBorder="1" applyAlignment="1">
      <alignment horizontal="center" vertical="center" wrapText="1"/>
    </xf>
    <xf numFmtId="0" fontId="0" fillId="0" borderId="10" xfId="0" applyFont="1" applyBorder="1" applyAlignment="1">
      <alignment horizontal="left" vertical="center"/>
    </xf>
    <xf numFmtId="164" fontId="0" fillId="0" borderId="10" xfId="0" applyNumberFormat="1" applyBorder="1" applyAlignment="1">
      <alignment horizontal="left" vertical="center"/>
    </xf>
    <xf numFmtId="0" fontId="0" fillId="0" borderId="10" xfId="59" applyFont="1" applyBorder="1" applyAlignment="1">
      <alignment horizontal="left" vertical="center"/>
      <protection/>
    </xf>
    <xf numFmtId="0" fontId="0" fillId="0" borderId="10" xfId="59" applyFont="1" applyBorder="1" applyAlignment="1">
      <alignment horizontal="center" vertical="center"/>
      <protection/>
    </xf>
    <xf numFmtId="0" fontId="0" fillId="30" borderId="10" xfId="0" applyFill="1" applyBorder="1" applyAlignment="1">
      <alignment horizontal="center" vertical="center" wrapText="1"/>
    </xf>
    <xf numFmtId="0" fontId="0" fillId="30" borderId="15" xfId="0" applyFill="1" applyBorder="1" applyAlignment="1">
      <alignment horizontal="center" vertical="center" wrapText="1"/>
    </xf>
    <xf numFmtId="0" fontId="18" fillId="0" borderId="0" xfId="0" applyFont="1" applyFill="1" applyAlignment="1">
      <alignment/>
    </xf>
    <xf numFmtId="1" fontId="0" fillId="0" borderId="10" xfId="0" applyNumberFormat="1" applyBorder="1" applyAlignment="1">
      <alignment horizontal="center" wrapText="1"/>
    </xf>
    <xf numFmtId="1" fontId="0" fillId="0" borderId="0" xfId="0" applyNumberFormat="1" applyBorder="1" applyAlignment="1">
      <alignment horizontal="center" wrapText="1"/>
    </xf>
    <xf numFmtId="0" fontId="0" fillId="0" borderId="0" xfId="0" applyFill="1" applyAlignment="1">
      <alignment vertical="center"/>
    </xf>
    <xf numFmtId="0" fontId="0" fillId="0" borderId="10" xfId="0" applyFont="1" applyBorder="1" applyAlignment="1">
      <alignment vertical="center" wrapText="1"/>
    </xf>
    <xf numFmtId="4" fontId="0" fillId="31" borderId="10" xfId="0" applyNumberFormat="1" applyFont="1" applyFill="1" applyBorder="1" applyAlignment="1">
      <alignment horizontal="right" vertical="center" wrapText="1"/>
    </xf>
    <xf numFmtId="0" fontId="0" fillId="31" borderId="10" xfId="0" applyFont="1" applyFill="1" applyBorder="1" applyAlignment="1">
      <alignment horizontal="right" vertical="center" wrapText="1"/>
    </xf>
    <xf numFmtId="181" fontId="0" fillId="31" borderId="10" xfId="0" applyNumberFormat="1" applyFont="1" applyFill="1" applyBorder="1" applyAlignment="1">
      <alignment horizontal="right" vertical="center" wrapText="1"/>
    </xf>
    <xf numFmtId="2" fontId="0" fillId="31" borderId="10" xfId="0" applyNumberFormat="1" applyFont="1" applyFill="1" applyBorder="1" applyAlignment="1">
      <alignment horizontal="right" vertical="center" wrapText="1"/>
    </xf>
    <xf numFmtId="0" fontId="1" fillId="0" borderId="18" xfId="0" applyFont="1" applyFill="1" applyBorder="1" applyAlignment="1">
      <alignment horizontal="center" vertical="center" wrapText="1"/>
    </xf>
    <xf numFmtId="166" fontId="0" fillId="0" borderId="10" xfId="42" applyNumberFormat="1" applyFont="1" applyBorder="1" applyAlignment="1">
      <alignment vertical="center" wrapText="1"/>
    </xf>
    <xf numFmtId="170" fontId="0" fillId="31" borderId="10" xfId="0" applyNumberFormat="1" applyFont="1" applyFill="1" applyBorder="1" applyAlignment="1">
      <alignment horizontal="right" vertical="center" wrapText="1"/>
    </xf>
    <xf numFmtId="171" fontId="0" fillId="31" borderId="10" xfId="0" applyNumberFormat="1" applyFont="1" applyFill="1" applyBorder="1" applyAlignment="1">
      <alignment horizontal="right" vertical="center" wrapText="1"/>
    </xf>
    <xf numFmtId="43" fontId="0" fillId="0" borderId="10" xfId="0" applyNumberFormat="1" applyFont="1" applyBorder="1" applyAlignment="1">
      <alignment vertical="center" wrapText="1"/>
    </xf>
    <xf numFmtId="3" fontId="0" fillId="31" borderId="10" xfId="0" applyNumberFormat="1" applyFont="1" applyFill="1" applyBorder="1" applyAlignment="1">
      <alignment horizontal="right" vertical="center" wrapText="1"/>
    </xf>
    <xf numFmtId="1" fontId="0" fillId="0" borderId="0" xfId="0" applyNumberFormat="1" applyFont="1" applyBorder="1" applyAlignment="1">
      <alignment vertical="center" wrapText="1"/>
    </xf>
    <xf numFmtId="1" fontId="1" fillId="0" borderId="10" xfId="0" applyNumberFormat="1" applyFont="1" applyBorder="1" applyAlignment="1">
      <alignment horizontal="center" vertical="center" wrapText="1"/>
    </xf>
    <xf numFmtId="167" fontId="0" fillId="0" borderId="10" xfId="62" applyNumberFormat="1" applyFont="1" applyBorder="1" applyAlignment="1">
      <alignment horizontal="right" vertical="center" wrapText="1"/>
    </xf>
    <xf numFmtId="0" fontId="0" fillId="0" borderId="10" xfId="0" applyBorder="1" applyAlignment="1">
      <alignment horizontal="left"/>
    </xf>
    <xf numFmtId="0" fontId="0" fillId="31" borderId="10" xfId="0" applyFont="1" applyFill="1" applyBorder="1" applyAlignment="1">
      <alignment vertical="center" wrapText="1"/>
    </xf>
    <xf numFmtId="1" fontId="0" fillId="0" borderId="10" xfId="0" applyNumberFormat="1" applyFont="1" applyBorder="1" applyAlignment="1">
      <alignment vertical="center" wrapText="1"/>
    </xf>
    <xf numFmtId="0" fontId="0" fillId="0" borderId="0" xfId="0" applyFont="1" applyBorder="1" applyAlignment="1">
      <alignment vertical="center" wrapText="1"/>
    </xf>
    <xf numFmtId="0" fontId="18" fillId="0" borderId="10" xfId="0" applyFont="1" applyBorder="1" applyAlignment="1">
      <alignment horizontal="center" vertical="center" wrapText="1"/>
    </xf>
    <xf numFmtId="9" fontId="0" fillId="0" borderId="10" xfId="0" applyNumberFormat="1" applyBorder="1" applyAlignment="1">
      <alignment horizontal="left"/>
    </xf>
    <xf numFmtId="0" fontId="0" fillId="0" borderId="0" xfId="0" applyBorder="1" applyAlignment="1">
      <alignment horizontal="left"/>
    </xf>
    <xf numFmtId="43" fontId="0" fillId="0" borderId="10" xfId="42" applyFont="1" applyBorder="1" applyAlignment="1">
      <alignment vertical="center" wrapText="1"/>
    </xf>
    <xf numFmtId="3" fontId="0" fillId="0" borderId="10" xfId="0" applyNumberFormat="1" applyFont="1" applyFill="1" applyBorder="1" applyAlignment="1">
      <alignment vertical="center" wrapText="1"/>
    </xf>
    <xf numFmtId="1" fontId="0" fillId="0" borderId="10" xfId="0" applyNumberFormat="1" applyFont="1" applyFill="1" applyBorder="1" applyAlignment="1">
      <alignment vertical="center" wrapText="1"/>
    </xf>
    <xf numFmtId="4" fontId="0" fillId="0" borderId="10" xfId="0" applyNumberFormat="1" applyFont="1" applyFill="1" applyBorder="1" applyAlignment="1">
      <alignment vertical="center" wrapText="1"/>
    </xf>
    <xf numFmtId="164" fontId="0" fillId="0" borderId="10" xfId="0" applyNumberFormat="1" applyFont="1" applyBorder="1" applyAlignment="1">
      <alignment vertical="center" wrapText="1"/>
    </xf>
    <xf numFmtId="2" fontId="0" fillId="0" borderId="10" xfId="0" applyNumberFormat="1" applyFont="1" applyBorder="1" applyAlignment="1">
      <alignment vertical="center" wrapText="1"/>
    </xf>
    <xf numFmtId="0" fontId="0" fillId="0" borderId="0" xfId="0" applyFont="1" applyBorder="1" applyAlignment="1">
      <alignment horizontal="left" vertical="center" wrapText="1"/>
    </xf>
    <xf numFmtId="0" fontId="0" fillId="0" borderId="14"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43" fontId="0" fillId="0" borderId="0" xfId="0" applyNumberFormat="1" applyFont="1" applyBorder="1" applyAlignment="1">
      <alignment horizontal="right" vertical="center" wrapText="1"/>
    </xf>
    <xf numFmtId="11" fontId="0" fillId="0" borderId="0" xfId="0" applyNumberFormat="1" applyFont="1" applyBorder="1" applyAlignment="1">
      <alignment horizontal="right" vertical="center" wrapText="1"/>
    </xf>
    <xf numFmtId="43" fontId="0" fillId="0" borderId="0" xfId="0" applyNumberFormat="1" applyFont="1" applyBorder="1" applyAlignment="1">
      <alignment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17" xfId="0" applyFont="1" applyBorder="1" applyAlignment="1">
      <alignment vertical="center" wrapText="1"/>
    </xf>
    <xf numFmtId="0" fontId="0" fillId="30" borderId="18" xfId="0" applyFont="1" applyFill="1" applyBorder="1" applyAlignment="1">
      <alignment vertical="center"/>
    </xf>
    <xf numFmtId="0" fontId="0" fillId="30" borderId="10" xfId="0" applyFont="1" applyFill="1" applyBorder="1" applyAlignment="1">
      <alignment vertical="center"/>
    </xf>
    <xf numFmtId="9" fontId="0" fillId="30" borderId="10" xfId="0" applyNumberFormat="1" applyFill="1" applyBorder="1" applyAlignment="1">
      <alignment horizontal="center"/>
    </xf>
    <xf numFmtId="0" fontId="0" fillId="30" borderId="10" xfId="0" applyFont="1" applyFill="1" applyBorder="1" applyAlignment="1">
      <alignment vertical="center" wrapText="1"/>
    </xf>
    <xf numFmtId="0" fontId="0" fillId="0" borderId="10" xfId="0" applyFont="1" applyBorder="1" applyAlignment="1">
      <alignment horizontal="right"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2" fontId="0" fillId="0" borderId="10" xfId="0" applyNumberFormat="1" applyBorder="1" applyAlignment="1">
      <alignment horizontal="center" wrapText="1"/>
    </xf>
    <xf numFmtId="43" fontId="0" fillId="0" borderId="10" xfId="0" applyNumberFormat="1" applyBorder="1" applyAlignment="1">
      <alignment/>
    </xf>
    <xf numFmtId="39" fontId="0" fillId="0" borderId="10" xfId="42" applyNumberFormat="1" applyFont="1" applyBorder="1" applyAlignment="1">
      <alignment horizontal="center"/>
    </xf>
    <xf numFmtId="172" fontId="0" fillId="0" borderId="10" xfId="0" applyNumberFormat="1" applyBorder="1" applyAlignment="1">
      <alignment/>
    </xf>
    <xf numFmtId="170" fontId="0" fillId="0" borderId="10" xfId="0" applyNumberFormat="1" applyBorder="1" applyAlignment="1">
      <alignment/>
    </xf>
    <xf numFmtId="170" fontId="0" fillId="0" borderId="10" xfId="0" applyNumberFormat="1" applyFont="1" applyBorder="1" applyAlignment="1" quotePrefix="1">
      <alignment horizontal="center"/>
    </xf>
    <xf numFmtId="4" fontId="0" fillId="0" borderId="10" xfId="0" applyNumberFormat="1" applyBorder="1" applyAlignment="1">
      <alignment horizontal="right"/>
    </xf>
    <xf numFmtId="0" fontId="0" fillId="0" borderId="10" xfId="0" applyFont="1" applyBorder="1" applyAlignment="1" quotePrefix="1">
      <alignment horizontal="right"/>
    </xf>
    <xf numFmtId="43" fontId="0" fillId="0" borderId="10" xfId="0" applyNumberFormat="1" applyBorder="1" applyAlignment="1">
      <alignment horizontal="right"/>
    </xf>
    <xf numFmtId="2" fontId="0" fillId="0" borderId="10" xfId="0" applyNumberFormat="1" applyFont="1" applyBorder="1" applyAlignment="1" quotePrefix="1">
      <alignment horizontal="right"/>
    </xf>
    <xf numFmtId="170" fontId="0" fillId="0" borderId="10" xfId="0" applyNumberFormat="1" applyFont="1" applyBorder="1" applyAlignment="1" quotePrefix="1">
      <alignment horizontal="right"/>
    </xf>
    <xf numFmtId="187" fontId="1" fillId="0" borderId="10" xfId="0" applyNumberFormat="1" applyFont="1" applyBorder="1" applyAlignment="1">
      <alignment horizontal="center"/>
    </xf>
    <xf numFmtId="173" fontId="0" fillId="0" borderId="10" xfId="0" applyNumberFormat="1" applyBorder="1" applyAlignment="1">
      <alignment/>
    </xf>
    <xf numFmtId="9" fontId="0" fillId="0" borderId="10" xfId="0" applyNumberFormat="1" applyFill="1" applyBorder="1" applyAlignment="1">
      <alignment horizontal="right" vertical="center"/>
    </xf>
    <xf numFmtId="0" fontId="18" fillId="30" borderId="10" xfId="0" applyFont="1" applyFill="1" applyBorder="1" applyAlignment="1">
      <alignment horizontal="center" vertical="center" wrapText="1"/>
    </xf>
    <xf numFmtId="164" fontId="0" fillId="30" borderId="0" xfId="0" applyNumberFormat="1" applyFont="1" applyFill="1" applyAlignment="1">
      <alignment vertical="center"/>
    </xf>
    <xf numFmtId="164" fontId="0" fillId="30" borderId="0" xfId="0" applyNumberFormat="1" applyFill="1" applyAlignment="1">
      <alignment vertical="center"/>
    </xf>
    <xf numFmtId="2" fontId="0" fillId="0" borderId="10" xfId="0" applyNumberFormat="1" applyFont="1" applyFill="1" applyBorder="1" applyAlignment="1">
      <alignment horizontal="right"/>
    </xf>
    <xf numFmtId="2" fontId="0" fillId="0" borderId="10" xfId="0" applyNumberFormat="1" applyFill="1" applyBorder="1" applyAlignment="1">
      <alignment/>
    </xf>
    <xf numFmtId="2" fontId="0" fillId="0" borderId="10" xfId="0" applyNumberFormat="1" applyFill="1" applyBorder="1" applyAlignment="1">
      <alignment horizontal="right"/>
    </xf>
    <xf numFmtId="0" fontId="0" fillId="0" borderId="10" xfId="0" applyFont="1" applyFill="1" applyBorder="1" applyAlignment="1">
      <alignment horizontal="right" vertical="center" wrapText="1"/>
    </xf>
    <xf numFmtId="0" fontId="0" fillId="0" borderId="10" xfId="0" applyFill="1" applyBorder="1" applyAlignment="1">
      <alignment vertical="center" wrapText="1"/>
    </xf>
    <xf numFmtId="164" fontId="0" fillId="0" borderId="10" xfId="0" applyNumberFormat="1" applyFill="1" applyBorder="1" applyAlignment="1">
      <alignment vertical="center" wrapText="1"/>
    </xf>
    <xf numFmtId="2" fontId="0" fillId="0" borderId="10" xfId="0" applyNumberFormat="1" applyFill="1" applyBorder="1" applyAlignment="1">
      <alignment vertical="center" wrapText="1"/>
    </xf>
    <xf numFmtId="2" fontId="18" fillId="0" borderId="10" xfId="0" applyNumberFormat="1" applyFont="1" applyFill="1" applyBorder="1" applyAlignment="1">
      <alignment vertical="center" wrapText="1"/>
    </xf>
    <xf numFmtId="0" fontId="0" fillId="0" borderId="0" xfId="0" applyFill="1" applyAlignment="1">
      <alignment vertical="center" wrapText="1"/>
    </xf>
    <xf numFmtId="0" fontId="0" fillId="30" borderId="10" xfId="0" applyFont="1" applyFill="1" applyBorder="1" applyAlignment="1">
      <alignment horizontal="left" vertical="center" wrapText="1"/>
    </xf>
    <xf numFmtId="167" fontId="0" fillId="30" borderId="10" xfId="62" applyNumberFormat="1" applyFont="1" applyFill="1" applyBorder="1" applyAlignment="1">
      <alignment horizontal="right" vertical="center" wrapText="1"/>
    </xf>
    <xf numFmtId="2" fontId="1" fillId="0" borderId="10" xfId="0" applyNumberFormat="1" applyFont="1" applyFill="1" applyBorder="1" applyAlignment="1">
      <alignment vertical="center" wrapText="1"/>
    </xf>
    <xf numFmtId="164" fontId="0" fillId="0" borderId="10" xfId="0" applyNumberFormat="1" applyFont="1" applyFill="1" applyBorder="1" applyAlignment="1">
      <alignment horizontal="right"/>
    </xf>
    <xf numFmtId="0" fontId="0" fillId="0" borderId="10" xfId="0" applyFont="1" applyFill="1" applyBorder="1" applyAlignment="1">
      <alignment horizontal="right"/>
    </xf>
    <xf numFmtId="0" fontId="0" fillId="0" borderId="15" xfId="0" applyFont="1" applyFill="1" applyBorder="1" applyAlignment="1">
      <alignment horizontal="center" vertical="center" wrapText="1"/>
    </xf>
    <xf numFmtId="2" fontId="0" fillId="0" borderId="15" xfId="0" applyNumberFormat="1" applyFill="1" applyBorder="1" applyAlignment="1">
      <alignment/>
    </xf>
    <xf numFmtId="0" fontId="0" fillId="0" borderId="16" xfId="0" applyFont="1" applyFill="1" applyBorder="1" applyAlignment="1">
      <alignment horizontal="center" vertical="center" wrapText="1"/>
    </xf>
    <xf numFmtId="2" fontId="0" fillId="0" borderId="16" xfId="0" applyNumberFormat="1" applyFill="1" applyBorder="1" applyAlignment="1">
      <alignment/>
    </xf>
    <xf numFmtId="0" fontId="0" fillId="0" borderId="10" xfId="0" applyBorder="1" applyAlignment="1">
      <alignment horizontal="left" vertical="center" wrapText="1"/>
    </xf>
    <xf numFmtId="0" fontId="15" fillId="0" borderId="10" xfId="53" applyBorder="1" applyAlignment="1" applyProtection="1" quotePrefix="1">
      <alignment vertical="center"/>
      <protection/>
    </xf>
    <xf numFmtId="0" fontId="0" fillId="0" borderId="0" xfId="0" applyFont="1" applyAlignment="1">
      <alignment vertical="center" wrapText="1"/>
    </xf>
    <xf numFmtId="0" fontId="1" fillId="0" borderId="0" xfId="0" applyFont="1" applyBorder="1" applyAlignment="1">
      <alignment horizontal="center" vertical="center" wrapText="1"/>
    </xf>
    <xf numFmtId="0" fontId="0" fillId="0" borderId="23" xfId="0" applyFont="1" applyBorder="1" applyAlignment="1" applyProtection="1">
      <alignment horizontal="left" vertical="center"/>
      <protection locked="0"/>
    </xf>
    <xf numFmtId="0" fontId="11" fillId="0" borderId="0" xfId="0" applyFont="1" applyFill="1" applyAlignment="1">
      <alignment horizontal="center" wrapText="1"/>
    </xf>
    <xf numFmtId="0" fontId="11" fillId="0" borderId="0" xfId="0" applyFont="1" applyFill="1" applyAlignment="1">
      <alignment horizontal="center"/>
    </xf>
    <xf numFmtId="164" fontId="0" fillId="0" borderId="10" xfId="0" applyNumberFormat="1" applyFill="1" applyBorder="1" applyAlignment="1">
      <alignment vertical="center"/>
    </xf>
    <xf numFmtId="0" fontId="0" fillId="0" borderId="10" xfId="0" applyFont="1" applyFill="1" applyBorder="1" applyAlignment="1">
      <alignment horizontal="center"/>
    </xf>
    <xf numFmtId="164" fontId="0" fillId="0" borderId="0" xfId="0" applyNumberFormat="1" applyFill="1" applyAlignment="1">
      <alignment/>
    </xf>
    <xf numFmtId="9" fontId="0" fillId="0" borderId="0" xfId="0" applyNumberFormat="1" applyFill="1" applyAlignment="1">
      <alignment/>
    </xf>
    <xf numFmtId="0" fontId="0" fillId="0" borderId="0" xfId="0" applyFill="1" applyAlignment="1">
      <alignment horizontal="center"/>
    </xf>
    <xf numFmtId="164" fontId="0" fillId="0" borderId="10" xfId="0" applyNumberFormat="1" applyFill="1" applyBorder="1" applyAlignment="1">
      <alignment horizontal="right"/>
    </xf>
    <xf numFmtId="164" fontId="0" fillId="0" borderId="10" xfId="0" applyNumberFormat="1" applyFill="1" applyBorder="1" applyAlignment="1">
      <alignment/>
    </xf>
    <xf numFmtId="164" fontId="0" fillId="0" borderId="10" xfId="0" applyNumberFormat="1" applyFont="1" applyFill="1" applyBorder="1" applyAlignment="1">
      <alignment/>
    </xf>
    <xf numFmtId="0" fontId="1" fillId="0" borderId="11" xfId="0" applyFont="1" applyFill="1" applyBorder="1" applyAlignment="1">
      <alignment horizontal="left" vertical="center" wrapText="1"/>
    </xf>
    <xf numFmtId="1" fontId="0" fillId="0" borderId="10" xfId="0" applyNumberFormat="1" applyFill="1" applyBorder="1" applyAlignment="1">
      <alignment vertical="center" wrapText="1"/>
    </xf>
    <xf numFmtId="2" fontId="0" fillId="0" borderId="10" xfId="0" applyNumberFormat="1" applyFont="1" applyFill="1" applyBorder="1" applyAlignment="1">
      <alignment/>
    </xf>
    <xf numFmtId="2" fontId="0" fillId="0" borderId="10" xfId="0" applyNumberFormat="1" applyFill="1" applyBorder="1" applyAlignment="1">
      <alignment horizontal="center"/>
    </xf>
    <xf numFmtId="4" fontId="1" fillId="0" borderId="10" xfId="0" applyNumberFormat="1" applyFont="1" applyFill="1" applyBorder="1" applyAlignment="1">
      <alignment horizontal="center"/>
    </xf>
    <xf numFmtId="4" fontId="0" fillId="0" borderId="10"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4" fontId="0" fillId="0" borderId="19" xfId="0" applyNumberFormat="1" applyFont="1" applyFill="1" applyBorder="1" applyAlignment="1">
      <alignment horizontal="center" vertical="center" wrapText="1"/>
    </xf>
    <xf numFmtId="4" fontId="0" fillId="0" borderId="23" xfId="0" applyNumberFormat="1" applyFont="1" applyFill="1" applyBorder="1" applyAlignment="1">
      <alignment horizontal="center" vertical="center" wrapText="1"/>
    </xf>
    <xf numFmtId="1" fontId="0" fillId="0" borderId="10" xfId="0" applyNumberFormat="1" applyFill="1" applyBorder="1" applyAlignment="1">
      <alignment/>
    </xf>
    <xf numFmtId="2" fontId="0" fillId="0" borderId="18" xfId="0" applyNumberFormat="1" applyFill="1" applyBorder="1" applyAlignment="1">
      <alignment/>
    </xf>
    <xf numFmtId="9" fontId="0" fillId="0" borderId="18" xfId="0" applyNumberFormat="1" applyFill="1" applyBorder="1" applyAlignment="1">
      <alignment/>
    </xf>
    <xf numFmtId="43" fontId="0" fillId="0" borderId="10" xfId="42" applyNumberFormat="1" applyFont="1" applyFill="1" applyBorder="1" applyAlignment="1">
      <alignment/>
    </xf>
    <xf numFmtId="43" fontId="0" fillId="0" borderId="10" xfId="0" applyNumberFormat="1" applyFill="1" applyBorder="1" applyAlignment="1">
      <alignment/>
    </xf>
    <xf numFmtId="43" fontId="1" fillId="0" borderId="12" xfId="0" applyNumberFormat="1" applyFont="1" applyFill="1" applyBorder="1" applyAlignment="1">
      <alignment/>
    </xf>
    <xf numFmtId="2" fontId="1" fillId="0" borderId="12" xfId="0" applyNumberFormat="1" applyFont="1" applyFill="1" applyBorder="1" applyAlignment="1">
      <alignment/>
    </xf>
    <xf numFmtId="2" fontId="1" fillId="0" borderId="10" xfId="0" applyNumberFormat="1" applyFont="1" applyFill="1" applyBorder="1" applyAlignment="1">
      <alignment/>
    </xf>
    <xf numFmtId="0" fontId="0" fillId="0" borderId="14" xfId="0" applyBorder="1" applyAlignment="1">
      <alignment vertical="center" wrapText="1"/>
    </xf>
    <xf numFmtId="0" fontId="0" fillId="31" borderId="10" xfId="0" applyFont="1" applyFill="1" applyBorder="1" applyAlignment="1">
      <alignment vertical="center"/>
    </xf>
    <xf numFmtId="0" fontId="0" fillId="32" borderId="0" xfId="0" applyFill="1" applyAlignment="1">
      <alignment vertical="center" wrapText="1"/>
    </xf>
    <xf numFmtId="0" fontId="11" fillId="32" borderId="0" xfId="0" applyFont="1" applyFill="1" applyAlignment="1">
      <alignment horizontal="center" vertical="center" wrapText="1"/>
    </xf>
    <xf numFmtId="0" fontId="18" fillId="32" borderId="0" xfId="0" applyFont="1" applyFill="1" applyAlignment="1">
      <alignment/>
    </xf>
    <xf numFmtId="0" fontId="0" fillId="32" borderId="0" xfId="0" applyFill="1" applyAlignment="1">
      <alignment/>
    </xf>
    <xf numFmtId="0" fontId="0" fillId="32" borderId="10" xfId="0" applyFill="1" applyBorder="1" applyAlignment="1">
      <alignment horizontal="left"/>
    </xf>
    <xf numFmtId="0" fontId="1" fillId="32" borderId="10" xfId="0" applyFont="1" applyFill="1" applyBorder="1" applyAlignment="1">
      <alignment horizontal="center" wrapText="1"/>
    </xf>
    <xf numFmtId="0" fontId="1" fillId="32" borderId="10" xfId="0" applyFont="1" applyFill="1" applyBorder="1" applyAlignment="1">
      <alignment horizontal="center"/>
    </xf>
    <xf numFmtId="0" fontId="0" fillId="32" borderId="10" xfId="0" applyFill="1" applyBorder="1" applyAlignment="1">
      <alignment/>
    </xf>
    <xf numFmtId="2" fontId="0" fillId="32" borderId="10" xfId="0" applyNumberFormat="1" applyFill="1" applyBorder="1" applyAlignment="1">
      <alignment horizontal="center"/>
    </xf>
    <xf numFmtId="0" fontId="0" fillId="32" borderId="0" xfId="0" applyFill="1" applyBorder="1" applyAlignment="1">
      <alignment/>
    </xf>
    <xf numFmtId="0" fontId="0" fillId="32" borderId="0" xfId="0" applyFill="1" applyAlignment="1">
      <alignment horizontal="right"/>
    </xf>
    <xf numFmtId="0" fontId="1" fillId="32" borderId="10" xfId="0" applyFont="1" applyFill="1" applyBorder="1" applyAlignment="1">
      <alignment horizontal="center" vertical="center" wrapText="1"/>
    </xf>
    <xf numFmtId="0" fontId="0" fillId="32" borderId="17" xfId="0" applyFill="1" applyBorder="1" applyAlignment="1">
      <alignment/>
    </xf>
    <xf numFmtId="2" fontId="0" fillId="32" borderId="10" xfId="0" applyNumberFormat="1" applyFill="1" applyBorder="1" applyAlignment="1">
      <alignment vertical="center" wrapText="1"/>
    </xf>
    <xf numFmtId="0" fontId="1" fillId="32" borderId="0" xfId="0" applyFont="1" applyFill="1" applyAlignment="1">
      <alignment/>
    </xf>
    <xf numFmtId="9" fontId="0" fillId="32" borderId="10" xfId="0" applyNumberFormat="1" applyFont="1" applyFill="1" applyBorder="1" applyAlignment="1">
      <alignment vertical="center" wrapText="1"/>
    </xf>
    <xf numFmtId="166" fontId="0" fillId="32" borderId="10" xfId="42" applyNumberFormat="1" applyFont="1" applyFill="1" applyBorder="1" applyAlignment="1">
      <alignment horizontal="right" vertical="center" wrapText="1"/>
    </xf>
    <xf numFmtId="164" fontId="1" fillId="32" borderId="0" xfId="0" applyNumberFormat="1" applyFont="1" applyFill="1" applyAlignment="1">
      <alignment/>
    </xf>
    <xf numFmtId="1" fontId="0" fillId="32" borderId="10" xfId="0" applyNumberFormat="1" applyFill="1" applyBorder="1" applyAlignment="1">
      <alignment/>
    </xf>
    <xf numFmtId="166" fontId="0" fillId="32" borderId="10" xfId="0" applyNumberFormat="1" applyFill="1" applyBorder="1" applyAlignment="1">
      <alignment horizontal="right" vertical="center" wrapText="1"/>
    </xf>
    <xf numFmtId="0" fontId="0" fillId="0" borderId="11" xfId="0" applyFont="1" applyBorder="1" applyAlignment="1" applyProtection="1">
      <alignment horizontal="left" vertical="center"/>
      <protection locked="0"/>
    </xf>
    <xf numFmtId="170" fontId="0" fillId="0" borderId="10" xfId="59" applyNumberFormat="1" applyFont="1" applyBorder="1" applyAlignment="1">
      <alignment horizontal="center" vertical="center"/>
      <protection/>
    </xf>
    <xf numFmtId="0" fontId="0" fillId="0" borderId="0" xfId="59" applyFont="1" applyAlignment="1">
      <alignment vertical="center"/>
      <protection/>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ill="1" applyBorder="1" applyAlignment="1">
      <alignment/>
    </xf>
    <xf numFmtId="2" fontId="0" fillId="0" borderId="10" xfId="0" applyNumberFormat="1" applyFill="1" applyBorder="1" applyAlignment="1">
      <alignment/>
    </xf>
    <xf numFmtId="2" fontId="0" fillId="0" borderId="10" xfId="0" applyNumberFormat="1" applyFont="1" applyFill="1" applyBorder="1" applyAlignment="1">
      <alignment horizontal="right" vertical="center" wrapText="1"/>
    </xf>
    <xf numFmtId="4" fontId="0" fillId="0" borderId="10" xfId="42" applyNumberFormat="1" applyFont="1" applyFill="1" applyBorder="1" applyAlignment="1">
      <alignment horizontal="right" vertical="center" wrapText="1"/>
    </xf>
    <xf numFmtId="2" fontId="0" fillId="0" borderId="10" xfId="42" applyNumberFormat="1" applyFont="1" applyFill="1" applyBorder="1" applyAlignment="1">
      <alignment vertical="center" wrapText="1"/>
    </xf>
    <xf numFmtId="2" fontId="0" fillId="0" borderId="10" xfId="42" applyNumberFormat="1" applyFont="1" applyFill="1" applyBorder="1" applyAlignment="1">
      <alignment vertical="center" wrapText="1"/>
    </xf>
    <xf numFmtId="4" fontId="0" fillId="0" borderId="10" xfId="42" applyNumberFormat="1" applyFont="1" applyFill="1" applyBorder="1" applyAlignment="1">
      <alignment vertical="center" wrapText="1"/>
    </xf>
    <xf numFmtId="4" fontId="0" fillId="0" borderId="10" xfId="42" applyNumberFormat="1" applyFont="1" applyFill="1" applyBorder="1" applyAlignment="1">
      <alignment vertical="center" wrapText="1"/>
    </xf>
    <xf numFmtId="170" fontId="0" fillId="0" borderId="10" xfId="0" applyNumberFormat="1" applyFill="1" applyBorder="1" applyAlignment="1">
      <alignment vertical="center" wrapText="1"/>
    </xf>
    <xf numFmtId="164" fontId="0" fillId="0" borderId="10" xfId="0" applyNumberFormat="1" applyFont="1" applyFill="1" applyBorder="1" applyAlignment="1" quotePrefix="1">
      <alignment horizontal="center" vertical="center" wrapText="1"/>
    </xf>
    <xf numFmtId="2" fontId="0" fillId="0" borderId="10" xfId="0" applyNumberFormat="1" applyFont="1" applyFill="1" applyBorder="1" applyAlignment="1" quotePrefix="1">
      <alignment horizontal="right" vertical="center" wrapText="1"/>
    </xf>
    <xf numFmtId="169" fontId="0" fillId="0" borderId="10" xfId="0" applyNumberFormat="1" applyFill="1" applyBorder="1" applyAlignment="1">
      <alignment vertical="center" wrapText="1"/>
    </xf>
    <xf numFmtId="1" fontId="0" fillId="0" borderId="10" xfId="0" applyNumberFormat="1" applyFont="1" applyBorder="1" applyAlignment="1">
      <alignment horizontal="right" vertical="center" wrapText="1"/>
    </xf>
    <xf numFmtId="11" fontId="0" fillId="31" borderId="10" xfId="0" applyNumberFormat="1" applyFont="1" applyFill="1" applyBorder="1" applyAlignment="1">
      <alignment horizontal="right" vertical="center" wrapText="1"/>
    </xf>
    <xf numFmtId="11" fontId="0" fillId="31" borderId="10" xfId="0" applyNumberFormat="1" applyFont="1" applyFill="1" applyBorder="1" applyAlignment="1">
      <alignment vertical="center"/>
    </xf>
    <xf numFmtId="11" fontId="0" fillId="31" borderId="10" xfId="0" applyNumberFormat="1" applyFont="1" applyFill="1" applyBorder="1" applyAlignment="1">
      <alignment horizontal="right" vertical="center"/>
    </xf>
    <xf numFmtId="11" fontId="1" fillId="31" borderId="10" xfId="0" applyNumberFormat="1" applyFont="1" applyFill="1" applyBorder="1" applyAlignment="1">
      <alignment vertical="center"/>
    </xf>
    <xf numFmtId="164" fontId="0" fillId="31" borderId="10" xfId="0" applyNumberFormat="1" applyFont="1" applyFill="1" applyBorder="1" applyAlignment="1">
      <alignment horizontal="right" vertical="center"/>
    </xf>
    <xf numFmtId="2" fontId="0" fillId="31" borderId="10" xfId="0" applyNumberFormat="1" applyFont="1" applyFill="1" applyBorder="1" applyAlignment="1">
      <alignment horizontal="right" vertical="center"/>
    </xf>
    <xf numFmtId="0" fontId="0" fillId="31" borderId="10" xfId="0" applyFont="1" applyFill="1" applyBorder="1" applyAlignment="1">
      <alignment horizontal="right" vertical="center"/>
    </xf>
    <xf numFmtId="0" fontId="1" fillId="31" borderId="10" xfId="0" applyFont="1" applyFill="1" applyBorder="1" applyAlignment="1">
      <alignment vertical="center"/>
    </xf>
    <xf numFmtId="0" fontId="0" fillId="0" borderId="24" xfId="0" applyFont="1" applyFill="1" applyBorder="1" applyAlignment="1">
      <alignment/>
    </xf>
    <xf numFmtId="167" fontId="0" fillId="30" borderId="10" xfId="62" applyNumberFormat="1" applyFont="1" applyFill="1" applyBorder="1" applyAlignment="1">
      <alignment horizontal="center"/>
    </xf>
    <xf numFmtId="0" fontId="11" fillId="0" borderId="0" xfId="0" applyFont="1" applyAlignment="1">
      <alignment/>
    </xf>
    <xf numFmtId="0" fontId="0" fillId="0" borderId="17" xfId="0" applyBorder="1" applyAlignment="1">
      <alignment vertical="center" wrapText="1"/>
    </xf>
    <xf numFmtId="9" fontId="0" fillId="30" borderId="10" xfId="0" applyNumberFormat="1" applyFill="1" applyBorder="1" applyAlignment="1">
      <alignment horizontal="righ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31" borderId="11" xfId="0" applyFont="1" applyFill="1" applyBorder="1" applyAlignment="1">
      <alignment horizontal="center" vertical="center"/>
    </xf>
    <xf numFmtId="0" fontId="0" fillId="31" borderId="22" xfId="0" applyFont="1" applyFill="1" applyBorder="1" applyAlignment="1">
      <alignment horizontal="center" vertical="center"/>
    </xf>
    <xf numFmtId="0" fontId="0" fillId="31" borderId="23" xfId="0" applyFont="1" applyFill="1" applyBorder="1" applyAlignment="1">
      <alignment horizontal="center" vertical="center"/>
    </xf>
    <xf numFmtId="2" fontId="0" fillId="0" borderId="20"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24" xfId="0" applyFont="1" applyBorder="1" applyAlignment="1">
      <alignment horizontal="center" vertical="center" wrapText="1"/>
    </xf>
    <xf numFmtId="2" fontId="0" fillId="0" borderId="10" xfId="0" applyNumberFormat="1" applyFill="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33" borderId="10" xfId="0" applyFill="1" applyBorder="1" applyAlignment="1">
      <alignment horizontal="center" vertical="center" wrapText="1"/>
    </xf>
    <xf numFmtId="0" fontId="0" fillId="33"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30" borderId="15" xfId="0" applyFont="1" applyFill="1" applyBorder="1" applyAlignment="1">
      <alignment horizontal="center" vertical="center" wrapText="1"/>
    </xf>
    <xf numFmtId="0" fontId="0" fillId="0" borderId="12" xfId="0" applyFont="1" applyBorder="1" applyAlignment="1">
      <alignment horizontal="center" vertical="center" wrapText="1"/>
    </xf>
    <xf numFmtId="11" fontId="0" fillId="0" borderId="18" xfId="0" applyNumberFormat="1" applyBorder="1" applyAlignment="1">
      <alignment horizontal="center" vertical="center" wrapText="1"/>
    </xf>
    <xf numFmtId="0" fontId="0" fillId="0" borderId="18" xfId="0" applyFont="1" applyBorder="1" applyAlignment="1">
      <alignment horizontal="center" vertical="center" wrapText="1"/>
    </xf>
    <xf numFmtId="170" fontId="0" fillId="0" borderId="18" xfId="0" applyNumberFormat="1" applyBorder="1" applyAlignment="1">
      <alignment horizontal="center" vertical="center" wrapText="1"/>
    </xf>
    <xf numFmtId="4" fontId="0" fillId="0" borderId="15" xfId="0" applyNumberFormat="1" applyBorder="1" applyAlignment="1">
      <alignment vertical="center" wrapText="1"/>
    </xf>
    <xf numFmtId="0" fontId="0" fillId="0" borderId="20" xfId="0" applyFont="1" applyFill="1" applyBorder="1" applyAlignment="1">
      <alignment horizontal="center" vertical="center" wrapText="1"/>
    </xf>
    <xf numFmtId="0" fontId="18" fillId="9" borderId="10" xfId="0" applyFont="1" applyFill="1" applyBorder="1" applyAlignment="1">
      <alignment horizontal="center" vertical="center" wrapText="1"/>
    </xf>
    <xf numFmtId="2" fontId="0" fillId="9" borderId="10" xfId="0" applyNumberFormat="1" applyFill="1" applyBorder="1" applyAlignment="1">
      <alignment vertical="center" wrapText="1"/>
    </xf>
    <xf numFmtId="2" fontId="18" fillId="9" borderId="10" xfId="0" applyNumberFormat="1" applyFont="1" applyFill="1" applyBorder="1" applyAlignment="1">
      <alignment vertical="center" wrapText="1"/>
    </xf>
    <xf numFmtId="0" fontId="0" fillId="9" borderId="0" xfId="0" applyFill="1" applyAlignment="1">
      <alignment vertical="center" wrapText="1"/>
    </xf>
    <xf numFmtId="171" fontId="0" fillId="0" borderId="10" xfId="0" applyNumberFormat="1" applyFill="1" applyBorder="1" applyAlignment="1">
      <alignment vertical="center" wrapText="1"/>
    </xf>
    <xf numFmtId="171" fontId="0" fillId="0" borderId="10" xfId="0" applyNumberFormat="1" applyFont="1" applyBorder="1" applyAlignment="1">
      <alignment/>
    </xf>
    <xf numFmtId="11" fontId="0" fillId="0" borderId="12" xfId="0" applyNumberFormat="1" applyBorder="1" applyAlignment="1">
      <alignment horizontal="center" vertical="center" wrapText="1"/>
    </xf>
    <xf numFmtId="4" fontId="0" fillId="0" borderId="15" xfId="0" applyNumberFormat="1" applyBorder="1" applyAlignment="1">
      <alignment horizontal="center" vertical="center" wrapText="1"/>
    </xf>
    <xf numFmtId="2" fontId="0" fillId="32" borderId="15" xfId="0" applyNumberFormat="1" applyFill="1" applyBorder="1" applyAlignment="1">
      <alignment horizontal="center" vertical="center" wrapText="1"/>
    </xf>
    <xf numFmtId="11" fontId="0" fillId="32" borderId="12" xfId="0" applyNumberFormat="1" applyFill="1" applyBorder="1" applyAlignment="1">
      <alignment horizontal="center" vertical="center" wrapText="1"/>
    </xf>
    <xf numFmtId="2" fontId="0" fillId="32" borderId="10" xfId="0" applyNumberFormat="1" applyFill="1" applyBorder="1" applyAlignment="1">
      <alignment horizontal="center" vertical="center" wrapText="1"/>
    </xf>
    <xf numFmtId="11" fontId="0" fillId="32" borderId="10" xfId="0" applyNumberFormat="1" applyFill="1" applyBorder="1" applyAlignment="1">
      <alignment horizontal="center" vertical="center" wrapText="1"/>
    </xf>
    <xf numFmtId="2" fontId="0" fillId="32" borderId="18" xfId="0" applyNumberFormat="1" applyFill="1" applyBorder="1" applyAlignment="1">
      <alignment horizontal="center" vertical="center" wrapText="1"/>
    </xf>
    <xf numFmtId="2" fontId="0" fillId="32" borderId="16" xfId="0" applyNumberFormat="1" applyFill="1" applyBorder="1" applyAlignment="1">
      <alignment horizontal="center" vertical="center" wrapText="1"/>
    </xf>
    <xf numFmtId="11" fontId="0" fillId="32" borderId="16" xfId="0" applyNumberFormat="1" applyFill="1" applyBorder="1" applyAlignment="1">
      <alignment horizontal="center" vertical="center" wrapText="1"/>
    </xf>
    <xf numFmtId="11" fontId="0" fillId="32" borderId="15" xfId="0" applyNumberFormat="1" applyFill="1" applyBorder="1" applyAlignment="1">
      <alignment horizontal="center" vertical="center" wrapText="1"/>
    </xf>
    <xf numFmtId="171" fontId="0" fillId="0" borderId="10" xfId="0" applyNumberFormat="1" applyFont="1" applyBorder="1" applyAlignment="1">
      <alignment horizontal="right" vertical="center" wrapText="1"/>
    </xf>
    <xf numFmtId="170" fontId="0" fillId="0" borderId="10" xfId="0" applyNumberFormat="1" applyBorder="1" applyAlignment="1">
      <alignment horizontal="center"/>
    </xf>
    <xf numFmtId="10" fontId="0" fillId="0" borderId="0" xfId="62" applyNumberFormat="1" applyFont="1" applyFill="1" applyAlignment="1">
      <alignment/>
    </xf>
    <xf numFmtId="164" fontId="0" fillId="32" borderId="10" xfId="0" applyNumberFormat="1" applyFill="1" applyBorder="1" applyAlignment="1">
      <alignment vertical="center" wrapText="1"/>
    </xf>
    <xf numFmtId="43" fontId="0" fillId="32" borderId="12" xfId="0" applyNumberFormat="1" applyFill="1" applyBorder="1" applyAlignment="1">
      <alignment/>
    </xf>
    <xf numFmtId="2" fontId="0" fillId="32" borderId="10" xfId="0" applyNumberFormat="1" applyFill="1" applyBorder="1" applyAlignment="1">
      <alignment/>
    </xf>
    <xf numFmtId="0" fontId="28" fillId="0" borderId="0" xfId="0" applyFont="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9" fontId="0" fillId="0" borderId="18" xfId="62" applyFont="1" applyBorder="1" applyAlignment="1">
      <alignment horizontal="center" vertical="center" wrapText="1"/>
    </xf>
    <xf numFmtId="9" fontId="0" fillId="0" borderId="24" xfId="62" applyFont="1" applyBorder="1" applyAlignment="1">
      <alignment horizontal="center" vertical="center" wrapText="1"/>
    </xf>
    <xf numFmtId="9" fontId="0" fillId="0" borderId="12" xfId="62" applyFont="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horizontal="center" vertical="center" wrapText="1"/>
    </xf>
    <xf numFmtId="0" fontId="1" fillId="0" borderId="10" xfId="0" applyFont="1" applyBorder="1" applyAlignment="1">
      <alignment horizontal="center" vertical="center" wrapText="1"/>
    </xf>
    <xf numFmtId="0" fontId="11" fillId="0" borderId="0" xfId="0" applyFont="1" applyAlignment="1">
      <alignment horizontal="center"/>
    </xf>
    <xf numFmtId="0" fontId="1" fillId="0" borderId="10" xfId="0" applyFont="1" applyBorder="1" applyAlignment="1">
      <alignment horizontal="center"/>
    </xf>
    <xf numFmtId="0" fontId="11" fillId="0" borderId="0" xfId="0" applyFont="1" applyAlignment="1">
      <alignment horizontal="center" wrapText="1"/>
    </xf>
    <xf numFmtId="0" fontId="1" fillId="0" borderId="0" xfId="0" applyFont="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6" xfId="0" applyFont="1" applyBorder="1" applyAlignment="1">
      <alignment horizontal="center" vertical="center" wrapText="1"/>
    </xf>
    <xf numFmtId="0" fontId="0" fillId="0" borderId="0" xfId="0" applyFont="1" applyAlignment="1">
      <alignment horizontal="left" vertical="center" wrapText="1"/>
    </xf>
    <xf numFmtId="0" fontId="1" fillId="0" borderId="0" xfId="0" applyFont="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 fillId="0" borderId="0" xfId="0" applyFont="1" applyFill="1" applyAlignment="1">
      <alignment horizontal="center"/>
    </xf>
    <xf numFmtId="0" fontId="11" fillId="0" borderId="0" xfId="0" applyFont="1" applyFill="1" applyAlignment="1">
      <alignment horizontal="center" wrapText="1"/>
    </xf>
    <xf numFmtId="0" fontId="11" fillId="0" borderId="0" xfId="0" applyFont="1" applyFill="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11" xfId="0" applyFont="1" applyBorder="1" applyAlignment="1">
      <alignment horizontal="left"/>
    </xf>
    <xf numFmtId="0" fontId="0" fillId="0" borderId="18" xfId="0" applyBorder="1" applyAlignment="1">
      <alignment horizontal="left"/>
    </xf>
    <xf numFmtId="0" fontId="0" fillId="0" borderId="27" xfId="0" applyBorder="1" applyAlignment="1">
      <alignment horizontal="left" vertical="center" wrapText="1"/>
    </xf>
    <xf numFmtId="0" fontId="0" fillId="30" borderId="0" xfId="0"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4" xfId="0" applyBorder="1" applyAlignment="1">
      <alignment horizontal="left" vertical="center" wrapText="1"/>
    </xf>
    <xf numFmtId="0" fontId="11" fillId="32" borderId="0" xfId="0" applyFont="1" applyFill="1" applyAlignment="1">
      <alignment horizontal="center" vertical="center" wrapText="1"/>
    </xf>
    <xf numFmtId="0" fontId="0" fillId="32" borderId="10" xfId="0" applyFont="1" applyFill="1" applyBorder="1" applyAlignment="1">
      <alignment horizontal="left" vertical="center" wrapText="1"/>
    </xf>
    <xf numFmtId="0" fontId="1" fillId="32" borderId="0" xfId="0" applyFont="1" applyFill="1" applyBorder="1" applyAlignment="1">
      <alignment horizontal="left" vertical="center" wrapText="1"/>
    </xf>
    <xf numFmtId="0" fontId="0" fillId="32" borderId="11" xfId="0" applyFont="1" applyFill="1" applyBorder="1" applyAlignment="1">
      <alignment horizontal="left" vertical="center" wrapText="1"/>
    </xf>
    <xf numFmtId="0" fontId="0" fillId="32" borderId="22" xfId="0" applyFont="1" applyFill="1" applyBorder="1" applyAlignment="1">
      <alignment horizontal="left" vertical="center" wrapText="1"/>
    </xf>
    <xf numFmtId="0" fontId="0" fillId="32" borderId="23" xfId="0" applyFont="1" applyFill="1" applyBorder="1" applyAlignment="1">
      <alignment horizontal="left" vertical="center" wrapText="1"/>
    </xf>
    <xf numFmtId="0" fontId="0" fillId="32" borderId="10" xfId="0" applyFont="1" applyFill="1" applyBorder="1" applyAlignment="1">
      <alignment horizontal="left"/>
    </xf>
    <xf numFmtId="0" fontId="0" fillId="32" borderId="10" xfId="0" applyFont="1" applyFill="1" applyBorder="1" applyAlignment="1">
      <alignment horizontal="left"/>
    </xf>
    <xf numFmtId="0" fontId="9" fillId="0" borderId="0"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0" fillId="0" borderId="24" xfId="0" applyFont="1" applyBorder="1" applyAlignment="1">
      <alignment horizontal="left" vertical="center"/>
    </xf>
    <xf numFmtId="0" fontId="0" fillId="0" borderId="12" xfId="0" applyFont="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27" xfId="0" applyFont="1" applyFill="1" applyBorder="1" applyAlignment="1">
      <alignment horizontal="left" vertical="center" wrapText="1"/>
    </xf>
    <xf numFmtId="0" fontId="1" fillId="0" borderId="0" xfId="0" applyFont="1" applyAlignment="1">
      <alignment horizontal="left" vertical="center" wrapText="1"/>
    </xf>
    <xf numFmtId="0" fontId="0" fillId="0" borderId="14" xfId="0" applyFont="1" applyBorder="1" applyAlignment="1">
      <alignment horizontal="left" vertical="center" wrapText="1"/>
    </xf>
    <xf numFmtId="0" fontId="11" fillId="0" borderId="0" xfId="59" applyFont="1" applyAlignment="1">
      <alignment horizontal="center" vertical="center" wrapText="1"/>
      <protection/>
    </xf>
    <xf numFmtId="0" fontId="1" fillId="0" borderId="0" xfId="59" applyFont="1" applyAlignment="1">
      <alignment horizontal="center" vertical="center"/>
      <protection/>
    </xf>
    <xf numFmtId="0" fontId="0" fillId="0" borderId="10" xfId="0" applyFont="1" applyBorder="1" applyAlignment="1">
      <alignment horizontal="left" vertical="center"/>
    </xf>
    <xf numFmtId="0" fontId="0" fillId="0" borderId="18" xfId="59" applyFont="1" applyFill="1" applyBorder="1" applyAlignment="1">
      <alignment horizontal="left" vertical="center"/>
      <protection/>
    </xf>
    <xf numFmtId="0" fontId="0" fillId="0" borderId="12" xfId="59" applyFont="1" applyFill="1" applyBorder="1" applyAlignment="1">
      <alignment horizontal="left" vertical="center"/>
      <protection/>
    </xf>
    <xf numFmtId="0" fontId="0" fillId="0" borderId="27" xfId="59" applyFont="1" applyFill="1" applyBorder="1" applyAlignment="1">
      <alignment horizontal="left" vertical="center" wrapText="1"/>
      <protection/>
    </xf>
    <xf numFmtId="0" fontId="0" fillId="0" borderId="0" xfId="59" applyFont="1" applyAlignment="1">
      <alignment horizontal="left" vertical="center" wrapText="1"/>
      <protection/>
    </xf>
    <xf numFmtId="0" fontId="11" fillId="0" borderId="0" xfId="59" applyFont="1" applyAlignment="1">
      <alignment horizontal="center" vertical="center"/>
      <protection/>
    </xf>
    <xf numFmtId="0" fontId="1" fillId="0" borderId="0" xfId="59" applyFont="1" applyBorder="1" applyAlignment="1">
      <alignment horizontal="left" vertical="center"/>
      <protection/>
    </xf>
    <xf numFmtId="0" fontId="0" fillId="0" borderId="17" xfId="0" applyFont="1" applyBorder="1" applyAlignment="1">
      <alignment horizontal="left" vertical="center" wrapText="1"/>
    </xf>
    <xf numFmtId="0" fontId="0" fillId="0" borderId="0" xfId="0" applyFont="1" applyAlignment="1">
      <alignment horizontal="left" vertical="center" wrapText="1"/>
    </xf>
    <xf numFmtId="0" fontId="0" fillId="0" borderId="17" xfId="0" applyFont="1" applyBorder="1" applyAlignment="1">
      <alignment horizontal="left" vertical="center" wrapText="1"/>
    </xf>
    <xf numFmtId="0" fontId="9" fillId="0" borderId="0" xfId="0" applyFont="1" applyAlignment="1">
      <alignment horizontal="left" vertical="center" wrapText="1"/>
    </xf>
    <xf numFmtId="0" fontId="11" fillId="0" borderId="0" xfId="0" applyFont="1" applyBorder="1" applyAlignment="1">
      <alignment horizont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7" xfId="0" applyFont="1" applyBorder="1" applyAlignment="1">
      <alignment horizontal="left" vertical="top" wrapText="1"/>
    </xf>
    <xf numFmtId="0" fontId="0" fillId="0" borderId="27" xfId="0" applyFont="1" applyBorder="1" applyAlignment="1">
      <alignment horizontal="left" vertical="top"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4" fontId="0" fillId="0" borderId="18" xfId="0" applyNumberFormat="1" applyFont="1" applyBorder="1" applyAlignment="1">
      <alignment horizontal="right" vertical="center" wrapText="1"/>
    </xf>
    <xf numFmtId="4" fontId="0" fillId="0" borderId="24" xfId="0" applyNumberFormat="1" applyFont="1" applyBorder="1" applyAlignment="1">
      <alignment horizontal="right" vertical="center" wrapText="1"/>
    </xf>
    <xf numFmtId="4" fontId="0" fillId="0" borderId="12" xfId="0" applyNumberFormat="1" applyFont="1" applyBorder="1" applyAlignment="1">
      <alignment horizontal="right" vertical="center" wrapText="1"/>
    </xf>
    <xf numFmtId="11" fontId="0" fillId="0" borderId="18" xfId="0" applyNumberFormat="1" applyFont="1" applyBorder="1" applyAlignment="1">
      <alignment horizontal="right" vertical="center" wrapText="1"/>
    </xf>
    <xf numFmtId="11" fontId="0" fillId="0" borderId="24" xfId="0" applyNumberFormat="1" applyFont="1" applyBorder="1" applyAlignment="1">
      <alignment horizontal="right" vertical="center" wrapText="1"/>
    </xf>
    <xf numFmtId="11" fontId="0" fillId="0" borderId="12" xfId="0" applyNumberFormat="1" applyFont="1" applyBorder="1" applyAlignment="1">
      <alignment horizontal="right" vertical="center" wrapText="1"/>
    </xf>
    <xf numFmtId="11" fontId="0" fillId="0" borderId="18" xfId="0" applyNumberFormat="1" applyFont="1" applyBorder="1" applyAlignment="1">
      <alignment horizontal="right" vertical="center" wrapText="1"/>
    </xf>
    <xf numFmtId="11" fontId="0" fillId="0" borderId="24" xfId="0" applyNumberFormat="1" applyFont="1" applyBorder="1" applyAlignment="1">
      <alignment horizontal="right" vertical="center" wrapText="1"/>
    </xf>
    <xf numFmtId="11" fontId="0" fillId="0" borderId="12" xfId="0" applyNumberFormat="1" applyFont="1" applyBorder="1" applyAlignment="1">
      <alignment horizontal="right"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0" xfId="0" applyFont="1" applyBorder="1" applyAlignment="1">
      <alignment horizontal="center" vertical="center" wrapText="1"/>
    </xf>
    <xf numFmtId="2" fontId="0" fillId="0" borderId="20" xfId="0" applyNumberFormat="1" applyBorder="1" applyAlignment="1">
      <alignment horizontal="center" vertical="center" wrapText="1"/>
    </xf>
    <xf numFmtId="2" fontId="0" fillId="0" borderId="24" xfId="0" applyNumberFormat="1" applyBorder="1" applyAlignment="1">
      <alignment horizontal="center" vertical="center" wrapText="1"/>
    </xf>
    <xf numFmtId="2" fontId="0" fillId="0" borderId="28" xfId="0" applyNumberFormat="1" applyBorder="1" applyAlignment="1">
      <alignment horizontal="center" vertical="center" wrapText="1"/>
    </xf>
    <xf numFmtId="0" fontId="0" fillId="0" borderId="2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5" xfId="0" applyFont="1" applyBorder="1" applyAlignment="1">
      <alignment horizontal="center" vertical="center" wrapText="1"/>
    </xf>
    <xf numFmtId="2" fontId="0" fillId="32" borderId="20" xfId="0" applyNumberFormat="1" applyFill="1" applyBorder="1" applyAlignment="1">
      <alignment horizontal="center" vertical="center" wrapText="1"/>
    </xf>
    <xf numFmtId="2" fontId="0" fillId="32" borderId="24" xfId="0" applyNumberFormat="1" applyFill="1" applyBorder="1" applyAlignment="1">
      <alignment horizontal="center" vertical="center" wrapText="1"/>
    </xf>
    <xf numFmtId="2" fontId="0" fillId="32" borderId="12" xfId="0" applyNumberFormat="1" applyFill="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2" fontId="0" fillId="32" borderId="15" xfId="0" applyNumberFormat="1" applyFill="1" applyBorder="1" applyAlignment="1">
      <alignment horizontal="center" vertical="center" wrapText="1"/>
    </xf>
    <xf numFmtId="2" fontId="0" fillId="32" borderId="10" xfId="0" applyNumberFormat="1" applyFill="1" applyBorder="1" applyAlignment="1">
      <alignment horizontal="center" vertical="center" wrapText="1"/>
    </xf>
    <xf numFmtId="0" fontId="0" fillId="0" borderId="20" xfId="0" applyFont="1" applyBorder="1" applyAlignment="1">
      <alignment horizontal="center" vertical="center" wrapText="1"/>
    </xf>
    <xf numFmtId="0" fontId="0" fillId="30" borderId="29" xfId="0" applyFont="1" applyFill="1" applyBorder="1" applyAlignment="1">
      <alignment horizontal="left" vertical="center" wrapText="1"/>
    </xf>
    <xf numFmtId="0" fontId="0" fillId="0" borderId="16" xfId="0" applyFont="1" applyBorder="1" applyAlignment="1">
      <alignment horizontal="center" vertical="center" wrapText="1"/>
    </xf>
    <xf numFmtId="0" fontId="0" fillId="30" borderId="15" xfId="0" applyFont="1" applyFill="1" applyBorder="1" applyAlignment="1">
      <alignment horizontal="left" vertical="center" wrapText="1"/>
    </xf>
    <xf numFmtId="0" fontId="0" fillId="30" borderId="10" xfId="0" applyFont="1" applyFill="1" applyBorder="1" applyAlignment="1">
      <alignment horizontal="left" vertical="center" wrapText="1"/>
    </xf>
    <xf numFmtId="0" fontId="0" fillId="30" borderId="16" xfId="0" applyFont="1" applyFill="1" applyBorder="1" applyAlignment="1">
      <alignment horizontal="left" vertical="center" wrapText="1"/>
    </xf>
    <xf numFmtId="0" fontId="0" fillId="30" borderId="15" xfId="0" applyFont="1" applyFill="1" applyBorder="1" applyAlignment="1">
      <alignment horizontal="left" vertical="center" wrapText="1"/>
    </xf>
    <xf numFmtId="0" fontId="0" fillId="30" borderId="10" xfId="0" applyFill="1" applyBorder="1" applyAlignment="1">
      <alignment horizontal="left" vertical="center" wrapText="1"/>
    </xf>
    <xf numFmtId="0" fontId="0" fillId="30" borderId="16" xfId="0" applyFill="1" applyBorder="1" applyAlignment="1">
      <alignment horizontal="left"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2" fontId="0" fillId="0" borderId="20" xfId="0" applyNumberFormat="1" applyFill="1" applyBorder="1" applyAlignment="1">
      <alignment horizontal="center" vertical="center" wrapText="1"/>
    </xf>
    <xf numFmtId="2" fontId="0" fillId="0" borderId="24"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2" fontId="0" fillId="0" borderId="12" xfId="0" applyNumberFormat="1" applyBorder="1" applyAlignment="1">
      <alignment horizontal="center" vertical="center" wrapText="1"/>
    </xf>
    <xf numFmtId="2" fontId="0" fillId="0" borderId="30" xfId="0" applyNumberFormat="1" applyBorder="1" applyAlignment="1">
      <alignment horizontal="center" vertical="center" wrapText="1"/>
    </xf>
    <xf numFmtId="2" fontId="0" fillId="0" borderId="17" xfId="0" applyNumberFormat="1" applyBorder="1" applyAlignment="1">
      <alignment horizontal="center" vertical="center" wrapText="1"/>
    </xf>
    <xf numFmtId="2" fontId="0" fillId="0" borderId="31" xfId="0" applyNumberFormat="1" applyBorder="1" applyAlignment="1">
      <alignment horizontal="center" vertical="center" wrapText="1"/>
    </xf>
    <xf numFmtId="0" fontId="0" fillId="30" borderId="15" xfId="0" applyFont="1" applyFill="1" applyBorder="1" applyAlignment="1">
      <alignment horizontal="center" vertical="center" wrapText="1"/>
    </xf>
    <xf numFmtId="0" fontId="0" fillId="30" borderId="10" xfId="0" applyFont="1" applyFill="1" applyBorder="1" applyAlignment="1">
      <alignment horizontal="center" vertical="center" wrapText="1"/>
    </xf>
    <xf numFmtId="0" fontId="0" fillId="30" borderId="16" xfId="0" applyFont="1" applyFill="1" applyBorder="1" applyAlignment="1">
      <alignment horizontal="center" vertical="center" wrapText="1"/>
    </xf>
    <xf numFmtId="0" fontId="0" fillId="30" borderId="12" xfId="0" applyFont="1" applyFill="1" applyBorder="1" applyAlignment="1">
      <alignment horizontal="left" vertical="center" wrapText="1"/>
    </xf>
    <xf numFmtId="0" fontId="0" fillId="30" borderId="18" xfId="0" applyFill="1" applyBorder="1" applyAlignment="1">
      <alignment horizontal="left" vertical="center" wrapText="1"/>
    </xf>
    <xf numFmtId="2" fontId="0" fillId="0" borderId="15" xfId="0" applyNumberFormat="1" applyBorder="1" applyAlignment="1">
      <alignment horizontal="center" vertical="center" wrapText="1"/>
    </xf>
    <xf numFmtId="4" fontId="0" fillId="0" borderId="20" xfId="0" applyNumberFormat="1" applyBorder="1" applyAlignment="1">
      <alignment horizontal="center" vertical="center" wrapText="1"/>
    </xf>
    <xf numFmtId="4" fontId="0" fillId="0" borderId="24" xfId="0" applyNumberFormat="1" applyBorder="1" applyAlignment="1">
      <alignment horizontal="center" vertical="center" wrapText="1"/>
    </xf>
    <xf numFmtId="4" fontId="0" fillId="0" borderId="12" xfId="0" applyNumberFormat="1" applyBorder="1" applyAlignment="1">
      <alignment horizontal="center" vertical="center" wrapText="1"/>
    </xf>
    <xf numFmtId="0" fontId="11" fillId="30" borderId="0" xfId="0" applyFont="1" applyFill="1" applyAlignment="1">
      <alignment horizontal="center" wrapText="1"/>
    </xf>
    <xf numFmtId="0" fontId="11" fillId="30" borderId="0" xfId="0" applyFont="1" applyFill="1" applyAlignment="1">
      <alignment horizontal="center"/>
    </xf>
    <xf numFmtId="0" fontId="0" fillId="30" borderId="14" xfId="0" applyFill="1" applyBorder="1" applyAlignment="1">
      <alignment horizontal="center"/>
    </xf>
    <xf numFmtId="0" fontId="0" fillId="30" borderId="10" xfId="0" applyFill="1" applyBorder="1" applyAlignment="1">
      <alignment horizontal="center"/>
    </xf>
    <xf numFmtId="0" fontId="18" fillId="9" borderId="11"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18" fillId="30" borderId="11" xfId="0" applyFont="1" applyFill="1" applyBorder="1" applyAlignment="1">
      <alignment horizontal="center" vertical="center" wrapText="1"/>
    </xf>
    <xf numFmtId="0" fontId="18" fillId="30" borderId="23" xfId="0" applyFont="1" applyFill="1" applyBorder="1" applyAlignment="1">
      <alignment horizontal="center" vertical="center" wrapText="1"/>
    </xf>
    <xf numFmtId="0" fontId="18" fillId="30" borderId="10" xfId="0" applyFont="1" applyFill="1" applyBorder="1" applyAlignment="1">
      <alignment horizontal="center" vertical="center" wrapText="1"/>
    </xf>
    <xf numFmtId="0" fontId="1" fillId="30" borderId="0" xfId="0" applyFont="1" applyFill="1" applyAlignment="1">
      <alignment horizontal="center" vertical="center" wrapText="1"/>
    </xf>
    <xf numFmtId="0" fontId="0" fillId="30" borderId="17" xfId="0" applyFont="1" applyFill="1" applyBorder="1" applyAlignment="1">
      <alignment horizontal="left" vertical="center" wrapText="1"/>
    </xf>
    <xf numFmtId="0" fontId="0" fillId="30" borderId="0" xfId="0" applyFont="1" applyFill="1" applyBorder="1" applyAlignment="1">
      <alignment horizontal="left" vertical="center" wrapText="1"/>
    </xf>
    <xf numFmtId="0" fontId="0" fillId="30" borderId="17" xfId="0" applyFill="1" applyBorder="1" applyAlignment="1">
      <alignment horizontal="left" vertical="center"/>
    </xf>
    <xf numFmtId="0" fontId="0" fillId="30" borderId="0" xfId="0" applyFill="1" applyAlignment="1">
      <alignment horizontal="left" vertical="center"/>
    </xf>
    <xf numFmtId="0" fontId="0" fillId="30" borderId="10" xfId="0" applyFill="1" applyBorder="1" applyAlignment="1">
      <alignment horizontal="center" vertical="center" wrapText="1"/>
    </xf>
    <xf numFmtId="0" fontId="0" fillId="30" borderId="17" xfId="0" applyFill="1" applyBorder="1" applyAlignment="1">
      <alignment horizontal="left" vertical="center" wrapText="1"/>
    </xf>
    <xf numFmtId="0" fontId="0" fillId="30" borderId="0" xfId="0" applyFill="1" applyAlignment="1">
      <alignment horizontal="left" vertical="center" wrapText="1"/>
    </xf>
    <xf numFmtId="0" fontId="18" fillId="30" borderId="0" xfId="0" applyFont="1" applyFill="1" applyAlignment="1">
      <alignment horizontal="left" vertical="center" wrapText="1"/>
    </xf>
    <xf numFmtId="2" fontId="0" fillId="0" borderId="13" xfId="0" applyNumberForma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42" fillId="0" borderId="10" xfId="0" applyFont="1" applyBorder="1" applyAlignment="1">
      <alignment horizontal="center" vertical="center" wrapText="1"/>
    </xf>
    <xf numFmtId="2" fontId="42" fillId="0" borderId="10" xfId="0" applyNumberFormat="1" applyFont="1" applyBorder="1" applyAlignment="1">
      <alignment horizontal="center" vertical="center" wrapText="1"/>
    </xf>
    <xf numFmtId="11" fontId="42" fillId="0" borderId="16" xfId="0" applyNumberFormat="1" applyFont="1" applyBorder="1" applyAlignment="1">
      <alignment horizontal="center" vertical="center" wrapText="1"/>
    </xf>
    <xf numFmtId="0" fontId="42" fillId="24" borderId="10" xfId="0" applyFont="1" applyFill="1" applyBorder="1" applyAlignment="1">
      <alignment horizontal="center" vertical="center" wrapText="1"/>
    </xf>
    <xf numFmtId="0" fontId="0" fillId="0" borderId="13"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IESEL" xfId="58"/>
    <cellStyle name="Normal_GENERATR"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
            </a:r>
          </a:p>
        </c:rich>
      </c:tx>
      <c:layout>
        <c:manualLayout>
          <c:xMode val="factor"/>
          <c:yMode val="factor"/>
          <c:x val="-0.0015"/>
          <c:y val="-0.01125"/>
        </c:manualLayout>
      </c:layout>
      <c:spPr>
        <a:noFill/>
        <a:ln>
          <a:noFill/>
        </a:ln>
      </c:spPr>
    </c:title>
    <c:plotArea>
      <c:layout>
        <c:manualLayout>
          <c:xMode val="edge"/>
          <c:yMode val="edge"/>
          <c:x val="0.205"/>
          <c:y val="0.11625"/>
          <c:w val="0.78175"/>
          <c:h val="0.797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exp"/>
            <c:dispEq val="1"/>
            <c:dispRSqr val="1"/>
            <c:trendlineLbl>
              <c:layout>
                <c:manualLayout>
                  <c:x val="0"/>
                  <c:y val="0"/>
                </c:manualLayout>
              </c:layout>
              <c:txPr>
                <a:bodyPr vert="horz" rot="0" anchor="ctr"/>
                <a:lstStyle/>
                <a:p>
                  <a:pPr algn="ctr">
                    <a:defRPr lang="en-US" cap="none" sz="1000" b="0" i="0" u="none" baseline="0">
                      <a:solidFill>
                        <a:srgbClr val="000000"/>
                      </a:solidFill>
                    </a:defRPr>
                  </a:pPr>
                </a:p>
              </c:txPr>
              <c:numFmt formatCode="General"/>
              <c:spPr>
                <a:solidFill>
                  <a:srgbClr val="FFFFFF"/>
                </a:solidFill>
                <a:ln w="3175">
                  <a:noFill/>
                </a:ln>
              </c:spPr>
            </c:trendlineLbl>
          </c:trendline>
          <c:xVal>
            <c:numRef>
              <c:f>'Cooling Tower'!$A$89:$A$97</c:f>
              <c:numCache/>
            </c:numRef>
          </c:xVal>
          <c:yVal>
            <c:numRef>
              <c:f>'Cooling Tower'!$B$89:$B$97</c:f>
              <c:numCache/>
            </c:numRef>
          </c:yVal>
          <c:smooth val="1"/>
        </c:ser>
        <c:axId val="6340827"/>
        <c:axId val="57067444"/>
      </c:scatterChart>
      <c:valAx>
        <c:axId val="6340827"/>
        <c:scaling>
          <c:orientation val="minMax"/>
        </c:scaling>
        <c:axPos val="b"/>
        <c:title>
          <c:tx>
            <c:rich>
              <a:bodyPr vert="horz" rot="0" anchor="ctr"/>
              <a:lstStyle/>
              <a:p>
                <a:pPr algn="ctr">
                  <a:defRPr/>
                </a:pPr>
                <a:r>
                  <a:rPr lang="en-US" cap="none" sz="1000" b="1" i="0" u="none" baseline="0">
                    <a:solidFill>
                      <a:srgbClr val="000000"/>
                    </a:solidFill>
                  </a:rPr>
                  <a:t>Droplet Diameter (μm)</a:t>
                </a:r>
              </a:p>
            </c:rich>
          </c:tx>
          <c:layout>
            <c:manualLayout>
              <c:xMode val="factor"/>
              <c:yMode val="factor"/>
              <c:x val="-0.00625"/>
              <c:y val="0.0005"/>
            </c:manualLayout>
          </c:layout>
          <c:overlay val="0"/>
          <c:spPr>
            <a:noFill/>
            <a:ln>
              <a:noFill/>
            </a:ln>
          </c:spPr>
        </c:title>
        <c:delete val="0"/>
        <c:numFmt formatCode="General" sourceLinked="1"/>
        <c:majorTickMark val="none"/>
        <c:minorTickMark val="none"/>
        <c:tickLblPos val="nextTo"/>
        <c:spPr>
          <a:ln w="3175">
            <a:solidFill>
              <a:srgbClr val="808080"/>
            </a:solidFill>
          </a:ln>
        </c:spPr>
        <c:crossAx val="57067444"/>
        <c:crosses val="autoZero"/>
        <c:crossBetween val="midCat"/>
        <c:dispUnits/>
      </c:valAx>
      <c:valAx>
        <c:axId val="57067444"/>
        <c:scaling>
          <c:orientation val="minMax"/>
        </c:scaling>
        <c:axPos val="l"/>
        <c:title>
          <c:tx>
            <c:rich>
              <a:bodyPr vert="horz" rot="0" anchor="ctr"/>
              <a:lstStyle/>
              <a:p>
                <a:pPr algn="ctr">
                  <a:defRPr/>
                </a:pPr>
                <a:r>
                  <a:rPr lang="en-US" cap="none" sz="1000" b="0" i="0" u="none" baseline="0">
                    <a:solidFill>
                      <a:srgbClr val="000000"/>
                    </a:solidFill>
                  </a:rPr>
                  <a:t>% Mass Larger</a:t>
                </a:r>
              </a:p>
            </c:rich>
          </c:tx>
          <c:layout>
            <c:manualLayout>
              <c:xMode val="factor"/>
              <c:yMode val="factor"/>
              <c:x val="0.01775"/>
              <c:y val="0"/>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4082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31</xdr:row>
      <xdr:rowOff>47625</xdr:rowOff>
    </xdr:from>
    <xdr:to>
      <xdr:col>8</xdr:col>
      <xdr:colOff>428625</xdr:colOff>
      <xdr:row>52</xdr:row>
      <xdr:rowOff>95250</xdr:rowOff>
    </xdr:to>
    <xdr:sp>
      <xdr:nvSpPr>
        <xdr:cNvPr id="1" name="Text Box 3"/>
        <xdr:cNvSpPr txBox="1">
          <a:spLocks noChangeArrowheads="1"/>
        </xdr:cNvSpPr>
      </xdr:nvSpPr>
      <xdr:spPr>
        <a:xfrm>
          <a:off x="38100" y="5591175"/>
          <a:ext cx="8210550" cy="3638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TONS PER YEAR FOR EACH PIECE OF EQUIPMENT AT MAXIMUM OPERATION
</a:t>
          </a:r>
          <a:r>
            <a:rPr lang="en-US" cap="none" sz="1000" b="1" i="0" u="none" baseline="0">
              <a:solidFill>
                <a:srgbClr val="000000"/>
              </a:solidFill>
              <a:latin typeface="Arial"/>
              <a:ea typeface="Arial"/>
              <a:cs typeface="Arial"/>
            </a:rPr>
            <a:t>For turbines and duct burners: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Ton/year values are from the spreadsheet titled "Combined Turbine and Duct Burner Annual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auxiliary boiler:
</a:t>
          </a:r>
          <a:r>
            <a:rPr lang="en-US" cap="none" sz="1000" b="0" i="0" u="none" baseline="0">
              <a:solidFill>
                <a:srgbClr val="000000"/>
              </a:solidFill>
              <a:latin typeface="Arial"/>
              <a:ea typeface="Arial"/>
              <a:cs typeface="Arial"/>
            </a:rPr>
            <a:t>Ton/year values are from the spreadsheet titled "Auxiliary Boiler Data and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emergency fire pump:
</a:t>
          </a:r>
          <a:r>
            <a:rPr lang="en-US" cap="none" sz="1000" b="0" i="0" u="none" baseline="0">
              <a:solidFill>
                <a:srgbClr val="000000"/>
              </a:solidFill>
              <a:latin typeface="Arial"/>
              <a:ea typeface="Arial"/>
              <a:cs typeface="Arial"/>
            </a:rPr>
            <a:t>Ton/year values are from the spreadsheet titled "Emergency Fire Pump Data and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cooling tower: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Tons/year value comes from the spreadsheest titled "Cooling Tower PM/PM</a:t>
          </a:r>
          <a:r>
            <a:rPr lang="en-US" cap="none" sz="1000" b="0" i="0" u="none"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/PM</a:t>
          </a:r>
          <a:r>
            <a:rPr lang="en-US" cap="none" sz="1000" b="0" i="0" u="none" baseline="-25000">
              <a:solidFill>
                <a:srgbClr val="000000"/>
              </a:solidFill>
              <a:latin typeface="Arial"/>
              <a:ea typeface="Arial"/>
              <a:cs typeface="Arial"/>
            </a:rPr>
            <a:t>2.5</a:t>
          </a:r>
          <a:r>
            <a:rPr lang="en-US" cap="none" sz="1000" b="0" i="0" u="none" baseline="0">
              <a:solidFill>
                <a:srgbClr val="000000"/>
              </a:solidFill>
              <a:latin typeface="Arial"/>
              <a:ea typeface="Arial"/>
              <a:cs typeface="Arial"/>
            </a:rPr>
            <a:t> Emissions" and "Cooling Tower HAP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evaporation pond: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Tons/year value comes from the spreadsheet titled "Evaporation Pond Chloroform Emissions".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CO</a:t>
          </a:r>
          <a:r>
            <a:rPr lang="en-US" cap="none" sz="1100" b="1" i="0" u="none" baseline="-25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CH</a:t>
          </a:r>
          <a:r>
            <a:rPr lang="en-US" cap="none" sz="1100" b="1" i="0" u="none" baseline="-25000">
              <a:solidFill>
                <a:srgbClr val="000000"/>
              </a:solidFill>
              <a:latin typeface="Calibri"/>
              <a:ea typeface="Calibri"/>
              <a:cs typeface="Calibri"/>
            </a:rPr>
            <a:t>4</a:t>
          </a:r>
          <a:r>
            <a:rPr lang="en-US" cap="none" sz="1100" b="1" i="0" u="none" baseline="0">
              <a:solidFill>
                <a:srgbClr val="000000"/>
              </a:solidFill>
              <a:latin typeface="Calibri"/>
              <a:ea typeface="Calibri"/>
              <a:cs typeface="Calibri"/>
            </a:rPr>
            <a:t>, N</a:t>
          </a:r>
          <a:r>
            <a:rPr lang="en-US" cap="none" sz="1100" b="1" i="0" u="none" baseline="-25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O, SF</a:t>
          </a:r>
          <a:r>
            <a:rPr lang="en-US" cap="none" sz="1100" b="1" i="0" u="none" baseline="-25000">
              <a:solidFill>
                <a:srgbClr val="000000"/>
              </a:solidFill>
              <a:latin typeface="Calibri"/>
              <a:ea typeface="Calibri"/>
              <a:cs typeface="Calibri"/>
            </a:rPr>
            <a:t>6</a:t>
          </a:r>
          <a:r>
            <a:rPr lang="en-US" cap="none" sz="1100" b="1" i="0" u="none" baseline="0">
              <a:solidFill>
                <a:srgbClr val="000000"/>
              </a:solidFill>
              <a:latin typeface="Calibri"/>
              <a:ea typeface="Calibri"/>
              <a:cs typeface="Calibri"/>
            </a:rPr>
            <a:t>, and CO</a:t>
          </a:r>
          <a:r>
            <a:rPr lang="en-US" cap="none" sz="1100" b="1" i="0" u="none" baseline="-25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e:</a:t>
          </a:r>
          <a:r>
            <a:rPr lang="en-US" cap="none" sz="1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Tons/year values are from the spreadsheet titled "Annual Greenhouse Gas Emissions"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Project Emissions tons = tons Each Piece of Equipment x # of Pieces of Equipment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turbines, duct burners, auxiliary boiler, and emergency fire pump assume PM</a:t>
          </a:r>
          <a:r>
            <a:rPr lang="en-US" cap="none" sz="1000" b="0" i="0" u="none"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 = PM</a:t>
          </a:r>
          <a:r>
            <a:rPr lang="en-US" cap="none" sz="1000" b="0" i="0" u="none" baseline="-25000">
              <a:solidFill>
                <a:srgbClr val="000000"/>
              </a:solidFill>
              <a:latin typeface="Arial"/>
              <a:ea typeface="Arial"/>
              <a:cs typeface="Arial"/>
            </a:rPr>
            <a:t>2.5
</a:t>
          </a:r>
          <a:r>
            <a:rPr lang="en-US" cap="none" sz="1000" b="0" i="0" u="none" baseline="-2500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117</xdr:row>
      <xdr:rowOff>0</xdr:rowOff>
    </xdr:from>
    <xdr:to>
      <xdr:col>7</xdr:col>
      <xdr:colOff>533400</xdr:colOff>
      <xdr:row>117</xdr:row>
      <xdr:rowOff>0</xdr:rowOff>
    </xdr:to>
    <xdr:sp>
      <xdr:nvSpPr>
        <xdr:cNvPr id="2" name="Text Box 7"/>
        <xdr:cNvSpPr txBox="1">
          <a:spLocks noChangeArrowheads="1"/>
        </xdr:cNvSpPr>
      </xdr:nvSpPr>
      <xdr:spPr>
        <a:xfrm>
          <a:off x="0" y="19659600"/>
          <a:ext cx="770572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DOUBLE CHECK ON TOTAL PROJECT ANNUAL EMISSIONS FOR ABOVE CAPACITY FACTORS AND EQUIPMENT NUMBERS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double check is calculated as follows: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tons </a:t>
          </a:r>
          <a:r>
            <a:rPr lang="en-US" cap="none" sz="1000" b="0" i="0" u="none" baseline="0">
              <a:solidFill>
                <a:srgbClr val="000000"/>
              </a:solidFill>
              <a:latin typeface="Arial"/>
              <a:ea typeface="Arial"/>
              <a:cs typeface="Arial"/>
            </a:rPr>
            <a:t> individual pieces of equipment   x   number of pieces of equipment
</a:t>
          </a:r>
          <a:r>
            <a:rPr lang="en-US" cap="none" sz="1000" b="0" i="0" u="none" baseline="0">
              <a:solidFill>
                <a:srgbClr val="000000"/>
              </a:solidFill>
              <a:latin typeface="Arial"/>
              <a:ea typeface="Arial"/>
              <a:cs typeface="Arial"/>
            </a:rPr>
            <a:t>year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tons/year for individual pieces of equipment values come from the table on the sheet labeled "Annual Emissions in Tons per Year for Each Piece of Equipment for Above Capacity.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30</xdr:row>
      <xdr:rowOff>0</xdr:rowOff>
    </xdr:from>
    <xdr:to>
      <xdr:col>5</xdr:col>
      <xdr:colOff>628650</xdr:colOff>
      <xdr:row>44</xdr:row>
      <xdr:rowOff>104775</xdr:rowOff>
    </xdr:to>
    <xdr:sp>
      <xdr:nvSpPr>
        <xdr:cNvPr id="1" name="Text Box 3"/>
        <xdr:cNvSpPr txBox="1">
          <a:spLocks noChangeArrowheads="1"/>
        </xdr:cNvSpPr>
      </xdr:nvSpPr>
      <xdr:spPr>
        <a:xfrm>
          <a:off x="76200" y="6343650"/>
          <a:ext cx="7058025" cy="2371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Conservatively assume maximum heat input during all operating hours:
</a:t>
          </a:r>
          <a:r>
            <a:rPr lang="en-US" cap="none" sz="1000" b="0" i="0" u="sng" baseline="0">
              <a:solidFill>
                <a:srgbClr val="000000"/>
              </a:solidFill>
              <a:latin typeface="Arial"/>
              <a:ea typeface="Arial"/>
              <a:cs typeface="Arial"/>
            </a:rPr>
            <a:t>mmBtu</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mmBtu</a:t>
          </a:r>
          <a:r>
            <a:rPr lang="en-US" cap="none" sz="1000" b="0" i="0" u="none" baseline="0">
              <a:solidFill>
                <a:srgbClr val="000000"/>
              </a:solidFill>
              <a:latin typeface="Arial"/>
              <a:ea typeface="Arial"/>
              <a:cs typeface="Arial"/>
            </a:rPr>
            <a:t>  x  8760 </a:t>
          </a:r>
          <a:r>
            <a:rPr lang="en-US" cap="none" sz="1000" b="0" i="0" u="sng"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x  capacity factor 
</a:t>
          </a:r>
          <a:r>
            <a:rPr lang="en-US" cap="none" sz="1000" b="0" i="0" u="none" baseline="0">
              <a:solidFill>
                <a:srgbClr val="000000"/>
              </a:solidFill>
              <a:latin typeface="Arial"/>
              <a:ea typeface="Arial"/>
              <a:cs typeface="Arial"/>
            </a:rPr>
            <a:t> year           hour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AP-42 Emission Factor Adjustment for Natural Gas Heat Content from footnote c, Table 3.1-3:
</a:t>
          </a:r>
          <a:r>
            <a:rPr lang="en-US" cap="none" sz="1000" b="0" i="0" u="none" baseline="0">
              <a:solidFill>
                <a:srgbClr val="000000"/>
              </a:solidFill>
              <a:latin typeface="Arial"/>
              <a:ea typeface="Arial"/>
              <a:cs typeface="Arial"/>
            </a:rPr>
            <a:t>Adjusted Emission Factor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AP-42 Emission Factor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Heat Content Bowie Natural Gas (Btu/scf)
</a:t>
          </a:r>
          <a:r>
            <a:rPr lang="en-US" cap="none" sz="1000" b="0" i="0" u="none" baseline="0">
              <a:solidFill>
                <a:srgbClr val="000000"/>
              </a:solidFill>
              <a:latin typeface="Arial"/>
              <a:ea typeface="Arial"/>
              <a:cs typeface="Arial"/>
            </a:rPr>
            <a:t>                                           mmBtu                                            mmBtu                        1020 Btu/scf
</a:t>
          </a:r>
          <a:r>
            <a:rPr lang="en-US" cap="none" sz="1000" b="0" i="0" u="none" baseline="0">
              <a:solidFill>
                <a:srgbClr val="000000"/>
              </a:solidFill>
              <a:latin typeface="Arial"/>
              <a:ea typeface="Arial"/>
              <a:cs typeface="Arial"/>
            </a:rPr>
            <a:t>lb/hour uncontrolled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mmBtu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hour      mmBtu             hour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tons/year controlled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of Operation Not in Startup x (1 - Control Efficiency)) +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in Startup)) x  </a:t>
          </a:r>
          <a:r>
            <a:rPr lang="en-US" cap="none" sz="1000" b="0" i="0" u="sng" baseline="0">
              <a:solidFill>
                <a:srgbClr val="000000"/>
              </a:solidFill>
              <a:latin typeface="Arial"/>
              <a:ea typeface="Arial"/>
              <a:cs typeface="Arial"/>
            </a:rPr>
            <a:t>  tons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year           hour       year                                                                                            hour      year                        2000 lb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35</xdr:row>
      <xdr:rowOff>57150</xdr:rowOff>
    </xdr:from>
    <xdr:to>
      <xdr:col>5</xdr:col>
      <xdr:colOff>590550</xdr:colOff>
      <xdr:row>52</xdr:row>
      <xdr:rowOff>95250</xdr:rowOff>
    </xdr:to>
    <xdr:sp>
      <xdr:nvSpPr>
        <xdr:cNvPr id="1" name="Text Box 1"/>
        <xdr:cNvSpPr txBox="1">
          <a:spLocks noChangeArrowheads="1"/>
        </xdr:cNvSpPr>
      </xdr:nvSpPr>
      <xdr:spPr>
        <a:xfrm>
          <a:off x="38100" y="7200900"/>
          <a:ext cx="6943725" cy="2790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mmBtu</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mmBtu</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year        hour       year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scf  </a:t>
          </a:r>
          <a:r>
            <a:rPr lang="en-US" cap="none" sz="1000" b="0" i="0" u="sng"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mmBtu         million scf          Btu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Uncontrolled Hourly Emissions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mmBtu
</a:t>
          </a:r>
          <a:r>
            <a:rPr lang="en-US" cap="none" sz="1000" b="0" i="0" u="none" baseline="0">
              <a:solidFill>
                <a:srgbClr val="000000"/>
              </a:solidFill>
              <a:latin typeface="Arial"/>
              <a:ea typeface="Arial"/>
              <a:cs typeface="Arial"/>
            </a:rPr>
            <a:t>hour     mmBtu       hour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Metal HAPs - uncontrolled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mmBtu</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tons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year    mmBtu       year       2000 lb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Organic HAPs - controlled
</a:t>
          </a:r>
          <a:r>
            <a:rPr lang="en-US" cap="none" sz="1100" b="0" i="0" u="sng" baseline="0">
              <a:solidFill>
                <a:srgbClr val="000000"/>
              </a:solidFill>
              <a:latin typeface="Calibri"/>
              <a:ea typeface="Calibri"/>
              <a:cs typeface="Calibri"/>
            </a:rPr>
            <a:t>tons</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mmBtu</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  x  (1 - control efficiency)</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year        mmBtu           year         2000 lb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95250</xdr:rowOff>
    </xdr:from>
    <xdr:to>
      <xdr:col>6</xdr:col>
      <xdr:colOff>352425</xdr:colOff>
      <xdr:row>55</xdr:row>
      <xdr:rowOff>142875</xdr:rowOff>
    </xdr:to>
    <xdr:sp>
      <xdr:nvSpPr>
        <xdr:cNvPr id="1" name="TextBox 1"/>
        <xdr:cNvSpPr txBox="1">
          <a:spLocks noChangeArrowheads="1"/>
        </xdr:cNvSpPr>
      </xdr:nvSpPr>
      <xdr:spPr>
        <a:xfrm>
          <a:off x="38100" y="10915650"/>
          <a:ext cx="66294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Turbine Emissions are from "Turbine HAP Emissions" spreadsheet.  Duct Burner emissions are from "Duct Burner HAP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Controlled Emissions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 (Turbine Emissions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Duct Burner Emissions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(1 - Control Efficiency)
</a:t>
          </a:r>
          <a:r>
            <a:rPr lang="en-US" cap="none" sz="1100" b="0" i="0" u="none" baseline="0">
              <a:solidFill>
                <a:srgbClr val="000000"/>
              </a:solidFill>
              <a:latin typeface="Calibri"/>
              <a:ea typeface="Calibri"/>
              <a:cs typeface="Calibri"/>
            </a:rPr>
            <a:t>                                       hour                                        hour                                              hour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60</xdr:row>
      <xdr:rowOff>142875</xdr:rowOff>
    </xdr:from>
    <xdr:to>
      <xdr:col>4</xdr:col>
      <xdr:colOff>114300</xdr:colOff>
      <xdr:row>99</xdr:row>
      <xdr:rowOff>142875</xdr:rowOff>
    </xdr:to>
    <xdr:sp>
      <xdr:nvSpPr>
        <xdr:cNvPr id="1" name="Text Box 1"/>
        <xdr:cNvSpPr txBox="1">
          <a:spLocks noChangeArrowheads="1"/>
        </xdr:cNvSpPr>
      </xdr:nvSpPr>
      <xdr:spPr>
        <a:xfrm>
          <a:off x="66675" y="11334750"/>
          <a:ext cx="5572125" cy="6315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feet = meters x 3.281  </a:t>
          </a:r>
          <a:r>
            <a:rPr lang="en-US" cap="none" sz="1100" b="0" i="0" u="sng" baseline="0">
              <a:solidFill>
                <a:srgbClr val="000000"/>
              </a:solidFill>
              <a:latin typeface="Calibri"/>
              <a:ea typeface="Calibri"/>
              <a:cs typeface="Calibri"/>
            </a:rPr>
            <a:t>   feet     </a:t>
          </a:r>
          <a:r>
            <a:rPr lang="en-US" cap="none" sz="11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                                        meters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 = [</a:t>
          </a:r>
          <a:r>
            <a:rPr lang="en-US" cap="none" sz="1100" b="0" i="0" u="sng"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F-32)] + 273.15</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9</a:t>
          </a:r>
          <a:r>
            <a:rPr lang="en-US" cap="none" sz="1100" b="0" i="0" u="sng"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sng" baseline="0">
              <a:solidFill>
                <a:srgbClr val="000000"/>
              </a:solidFill>
              <a:latin typeface="Calibri"/>
              <a:ea typeface="Calibri"/>
              <a:cs typeface="Calibri"/>
            </a:rPr>
            <a:t>meters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feet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meters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second        second         3.281 feet  </a:t>
          </a:r>
          <a:r>
            <a:rPr lang="en-US" cap="none" sz="1100" b="0" i="0" u="sng"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feet = inches x  </a:t>
          </a:r>
          <a:r>
            <a:rPr lang="en-US" cap="none" sz="1000" b="0" i="0" u="sng" baseline="0">
              <a:solidFill>
                <a:srgbClr val="000000"/>
              </a:solidFill>
              <a:latin typeface="Arial"/>
              <a:ea typeface="Arial"/>
              <a:cs typeface="Arial"/>
            </a:rPr>
            <a:t>    feet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12 inches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meters = inches x  </a:t>
          </a:r>
          <a:r>
            <a:rPr lang="en-US" cap="none" sz="1000" b="0" i="0" u="sng" baseline="0">
              <a:solidFill>
                <a:srgbClr val="000000"/>
              </a:solidFill>
              <a:latin typeface="Arial"/>
              <a:ea typeface="Arial"/>
              <a:cs typeface="Arial"/>
            </a:rPr>
            <a:t>       feet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meters   </a:t>
          </a:r>
          <a:r>
            <a:rPr lang="en-US" cap="none" sz="1000" b="0" i="0" u="sng" baseline="0">
              <a:solidFill>
                <a:srgbClr val="FFFFFF"/>
              </a:solidFill>
              <a:latin typeface="Arial"/>
              <a:ea typeface="Arial"/>
              <a:cs typeface="Arial"/>
            </a:rPr>
            <a:t>.</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12 inches       3.281 feet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grains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grains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1,000,000 scf
</a:t>
          </a:r>
          <a:r>
            <a:rPr lang="en-US" cap="none" sz="1000" b="0" i="0" u="none" baseline="0">
              <a:solidFill>
                <a:srgbClr val="000000"/>
              </a:solidFill>
              <a:latin typeface="Arial"/>
              <a:ea typeface="Arial"/>
              <a:cs typeface="Arial"/>
            </a:rPr>
            <a:t>10</a:t>
          </a:r>
          <a:r>
            <a:rPr lang="en-US" cap="none" sz="1000" b="0" i="0" u="none" baseline="30000">
              <a:solidFill>
                <a:srgbClr val="000000"/>
              </a:solidFill>
              <a:latin typeface="Arial"/>
              <a:ea typeface="Arial"/>
              <a:cs typeface="Arial"/>
            </a:rPr>
            <a:t>6</a:t>
          </a:r>
          <a:r>
            <a:rPr lang="en-US" cap="none" sz="1000" b="0" i="0" u="none" baseline="0">
              <a:solidFill>
                <a:srgbClr val="000000"/>
              </a:solidFill>
              <a:latin typeface="Arial"/>
              <a:ea typeface="Arial"/>
              <a:cs typeface="Arial"/>
            </a:rPr>
            <a:t> scf        100 scf            10</a:t>
          </a:r>
          <a:r>
            <a:rPr lang="en-US" cap="none" sz="1000" b="0" i="0" u="none" baseline="30000">
              <a:solidFill>
                <a:srgbClr val="000000"/>
              </a:solidFill>
              <a:latin typeface="Arial"/>
              <a:ea typeface="Arial"/>
              <a:cs typeface="Arial"/>
            </a:rPr>
            <a:t>6</a:t>
          </a:r>
          <a:r>
            <a:rPr lang="en-US" cap="none" sz="1000" b="0" i="0" u="none" baseline="0">
              <a:solidFill>
                <a:srgbClr val="000000"/>
              </a:solidFill>
              <a:latin typeface="Arial"/>
              <a:ea typeface="Arial"/>
              <a:cs typeface="Arial"/>
            </a:rPr>
            <a:t> scf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mmscf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mmBtu</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1,000,000 Btu</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scf</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mmscf     </a:t>
          </a:r>
          <a:r>
            <a:rPr lang="en-US" cap="none" sz="1000" b="0" i="0" u="sng" baseline="0">
              <a:solidFill>
                <a:srgbClr val="FFFFFF"/>
              </a:solidFill>
              <a:latin typeface="Arial"/>
              <a:ea typeface="Arial"/>
              <a:cs typeface="Arial"/>
            </a:rPr>
            <a:t>.</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hour         hour              mmBtu            Btu      1,000,000 scf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mmscf</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mmscf</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year           hour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Adjust AP-42, SO2 emission factor for heat and sulfur content of Bowie natural gas: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Adjusted Emission Factor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Bowie Sulfur Content    grains/scf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mmscf      mmscf      AP-42 Sulfur Content 2,000 grains/scf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lb/hour emissions: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mmBtu
</a:t>
          </a:r>
          <a:r>
            <a:rPr lang="en-US" cap="none" sz="1000" b="0" i="0" u="none" baseline="0">
              <a:solidFill>
                <a:srgbClr val="000000"/>
              </a:solidFill>
              <a:latin typeface="Arial"/>
              <a:ea typeface="Arial"/>
              <a:cs typeface="Arial"/>
            </a:rPr>
            <a:t>hour     mmBtu        hour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mmscf
</a:t>
          </a:r>
          <a:r>
            <a:rPr lang="en-US" cap="none" sz="1000" b="0" i="0" u="none" baseline="0">
              <a:solidFill>
                <a:srgbClr val="000000"/>
              </a:solidFill>
              <a:latin typeface="Arial"/>
              <a:ea typeface="Arial"/>
              <a:cs typeface="Arial"/>
            </a:rPr>
            <a:t> hour     mmscf        hour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mmBtu</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tons  </a:t>
          </a:r>
          <a:r>
            <a:rPr lang="en-US" cap="none" sz="1000" b="0" i="0" u="none" baseline="0">
              <a:solidFill>
                <a:srgbClr val="000000"/>
              </a:solidFill>
              <a:latin typeface="Arial"/>
              <a:ea typeface="Arial"/>
              <a:cs typeface="Arial"/>
            </a:rPr>
            <a:t>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year     mmBtu      hour       year     2000 lb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mmscf</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tons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year       mmscf         year        2000 lb
</a:t>
          </a:r>
          <a:r>
            <a:rPr lang="en-US" cap="none" sz="1000" b="0" i="0" u="none" baseline="0">
              <a:solidFill>
                <a:srgbClr val="000000"/>
              </a:solidFill>
              <a:latin typeface="Arial"/>
              <a:ea typeface="Arial"/>
              <a:cs typeface="Arial"/>
            </a:rPr>
            <a:t>
</a:t>
          </a:r>
        </a:p>
      </xdr:txBody>
    </xdr:sp>
    <xdr:clientData/>
  </xdr:twoCellAnchor>
  <xdr:oneCellAnchor>
    <xdr:from>
      <xdr:col>0</xdr:col>
      <xdr:colOff>942975</xdr:colOff>
      <xdr:row>33</xdr:row>
      <xdr:rowOff>0</xdr:rowOff>
    </xdr:from>
    <xdr:ext cx="95250" cy="200025"/>
    <xdr:sp fLocksText="0">
      <xdr:nvSpPr>
        <xdr:cNvPr id="2" name="Text Box 2"/>
        <xdr:cNvSpPr txBox="1">
          <a:spLocks noChangeArrowheads="1"/>
        </xdr:cNvSpPr>
      </xdr:nvSpPr>
      <xdr:spPr>
        <a:xfrm>
          <a:off x="942975" y="64484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6</xdr:col>
      <xdr:colOff>514350</xdr:colOff>
      <xdr:row>80</xdr:row>
      <xdr:rowOff>95250</xdr:rowOff>
    </xdr:to>
    <xdr:sp>
      <xdr:nvSpPr>
        <xdr:cNvPr id="1" name="Text Box 2"/>
        <xdr:cNvSpPr txBox="1">
          <a:spLocks noChangeArrowheads="1"/>
        </xdr:cNvSpPr>
      </xdr:nvSpPr>
      <xdr:spPr>
        <a:xfrm>
          <a:off x="0" y="10506075"/>
          <a:ext cx="8524875" cy="5276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meters = feet x   </a:t>
          </a:r>
          <a:r>
            <a:rPr lang="en-US" cap="none" sz="1000" b="0" i="0" u="sng" baseline="0">
              <a:solidFill>
                <a:srgbClr val="000000"/>
              </a:solidFill>
              <a:latin typeface="Arial"/>
              <a:ea typeface="Arial"/>
              <a:cs typeface="Arial"/>
            </a:rPr>
            <a:t>  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3.281 feet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K = [</a:t>
          </a:r>
          <a:r>
            <a:rPr lang="en-US" cap="none" sz="1100" b="0" i="0" u="sng"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F-32)] + 273.15</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9</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Exit Velocity </a:t>
          </a:r>
          <a:r>
            <a:rPr lang="en-US" cap="none" sz="1100" b="0" i="0" u="sng" baseline="0">
              <a:solidFill>
                <a:srgbClr val="000000"/>
              </a:solidFill>
              <a:latin typeface="Calibri"/>
              <a:ea typeface="Calibri"/>
              <a:cs typeface="Calibri"/>
            </a:rPr>
            <a:t>  ft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Flowrate (ft</a:t>
          </a:r>
          <a:r>
            <a:rPr lang="en-US" cap="none" sz="1100" b="0" i="0" u="sng" baseline="30000">
              <a:solidFill>
                <a:srgbClr val="000000"/>
              </a:solidFill>
              <a:latin typeface="Calibri"/>
              <a:ea typeface="Calibri"/>
              <a:cs typeface="Calibri"/>
            </a:rPr>
            <a:t>3</a:t>
          </a:r>
          <a:r>
            <a:rPr lang="en-US" cap="none" sz="1100" b="0" i="0" u="sng" baseline="0">
              <a:solidFill>
                <a:srgbClr val="000000"/>
              </a:solidFill>
              <a:latin typeface="Calibri"/>
              <a:ea typeface="Calibri"/>
              <a:cs typeface="Calibri"/>
            </a:rPr>
            <a:t>/min)</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Flowrate (ft</a:t>
          </a:r>
          <a:r>
            <a:rPr lang="en-US" cap="none" sz="1100" b="0" i="0" u="sng" baseline="30000">
              <a:solidFill>
                <a:srgbClr val="000000"/>
              </a:solidFill>
              <a:latin typeface="Calibri"/>
              <a:ea typeface="Calibri"/>
              <a:cs typeface="Calibri"/>
            </a:rPr>
            <a:t>3</a:t>
          </a:r>
          <a:r>
            <a:rPr lang="en-US" cap="none" sz="1100" b="0" i="0" u="sng" baseline="0">
              <a:solidFill>
                <a:srgbClr val="000000"/>
              </a:solidFill>
              <a:latin typeface="Calibri"/>
              <a:ea typeface="Calibri"/>
              <a:cs typeface="Calibri"/>
            </a:rPr>
            <a:t>/min)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Flowrate (ft</a:t>
          </a:r>
          <a:r>
            <a:rPr lang="en-US" cap="none" sz="1100" b="0" i="0" u="sng" baseline="30000">
              <a:solidFill>
                <a:srgbClr val="000000"/>
              </a:solidFill>
              <a:latin typeface="Calibri"/>
              <a:ea typeface="Calibri"/>
              <a:cs typeface="Calibri"/>
            </a:rPr>
            <a:t>3</a:t>
          </a:r>
          <a:r>
            <a:rPr lang="en-US" cap="none" sz="1100" b="0" i="0" u="sng" baseline="0">
              <a:solidFill>
                <a:srgbClr val="000000"/>
              </a:solidFill>
              <a:latin typeface="Calibri"/>
              <a:ea typeface="Calibri"/>
              <a:cs typeface="Calibri"/>
            </a:rPr>
            <a:t>/min)                    </a:t>
          </a:r>
          <a:r>
            <a:rPr lang="en-US" cap="none" sz="11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a:t>
          </a:r>
          <a:r>
            <a:rPr lang="en-US" cap="none" sz="1100" b="0" i="0" u="sng"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                     min         Area (ft</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π </a:t>
          </a:r>
          <a:r>
            <a:rPr lang="en-US" cap="none" sz="1100" b="0" i="0" u="none" baseline="0">
              <a:solidFill>
                <a:srgbClr val="000000"/>
              </a:solidFill>
              <a:latin typeface="Calibri"/>
              <a:ea typeface="Calibri"/>
              <a:cs typeface="Calibri"/>
            </a:rPr>
            <a:t>x (</a:t>
          </a:r>
          <a:r>
            <a:rPr lang="en-US" cap="none" sz="1100" b="0" i="0" u="sng" baseline="0">
              <a:solidFill>
                <a:srgbClr val="000000"/>
              </a:solidFill>
              <a:latin typeface="Calibri"/>
              <a:ea typeface="Calibri"/>
              <a:cs typeface="Calibri"/>
            </a:rPr>
            <a:t>diameter [ft]</a:t>
          </a:r>
          <a:r>
            <a:rPr lang="en-US" cap="none" sz="1100" b="0" i="0"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π </a:t>
          </a:r>
          <a:r>
            <a:rPr lang="en-US" cap="none" sz="1100" b="0" i="0" u="none" baseline="0">
              <a:solidFill>
                <a:srgbClr val="000000"/>
              </a:solidFill>
              <a:latin typeface="Calibri"/>
              <a:ea typeface="Calibri"/>
              <a:cs typeface="Calibri"/>
            </a:rPr>
            <a:t>x (</a:t>
          </a:r>
          <a:r>
            <a:rPr lang="en-US" cap="none" sz="1100" b="0" i="0" u="sng" baseline="0">
              <a:solidFill>
                <a:srgbClr val="000000"/>
              </a:solidFill>
              <a:latin typeface="Calibri"/>
              <a:ea typeface="Calibri"/>
              <a:cs typeface="Calibri"/>
            </a:rPr>
            <a:t>diameter [inches] x ft/12 inches</a:t>
          </a:r>
          <a:r>
            <a:rPr lang="en-US" cap="none" sz="1100" b="0" i="0"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2                                                2</a:t>
          </a:r>
          <a:r>
            <a:rPr lang="en-US" cap="none" sz="10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ft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ft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min  </a:t>
          </a:r>
          <a:r>
            <a:rPr lang="en-US" cap="none" sz="11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sec        min      60 sec</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meters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ft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minute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meters  </a:t>
          </a:r>
          <a:r>
            <a:rPr lang="en-US" cap="none" sz="11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a:t>
          </a:r>
          <a:r>
            <a:rPr lang="en-US" cap="none" sz="10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second     min     60 seconds      3.281 feet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feet = inches x  </a:t>
          </a:r>
          <a:r>
            <a:rPr lang="en-US" cap="none" sz="1000" b="0" i="0" u="sng" baseline="0">
              <a:solidFill>
                <a:srgbClr val="000000"/>
              </a:solidFill>
              <a:latin typeface="Arial"/>
              <a:ea typeface="Arial"/>
              <a:cs typeface="Arial"/>
            </a:rPr>
            <a:t>     feet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12 inches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meters = inches x   </a:t>
          </a:r>
          <a:r>
            <a:rPr lang="en-US" cap="none" sz="1000" b="0" i="0" u="sng" baseline="0">
              <a:solidFill>
                <a:srgbClr val="000000"/>
              </a:solidFill>
              <a:latin typeface="Arial"/>
              <a:ea typeface="Arial"/>
              <a:cs typeface="Arial"/>
            </a:rPr>
            <a:t>   feet      </a:t>
          </a:r>
          <a:r>
            <a:rPr lang="en-US" cap="none" sz="1000" b="0" i="0" u="none" baseline="0">
              <a:solidFill>
                <a:srgbClr val="000000"/>
              </a:solidFill>
              <a:latin typeface="Arial"/>
              <a:ea typeface="Arial"/>
              <a:cs typeface="Arial"/>
            </a:rPr>
            <a:t>x   </a:t>
          </a:r>
          <a:r>
            <a:rPr lang="en-US" cap="none" sz="1000" b="0" i="0" u="sng" baseline="0">
              <a:solidFill>
                <a:srgbClr val="000000"/>
              </a:solidFill>
              <a:latin typeface="Arial"/>
              <a:ea typeface="Arial"/>
              <a:cs typeface="Arial"/>
            </a:rPr>
            <a:t>  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12 inches     3.281 feet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Heat Input Rate is calculated as follows: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mmBtu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gallons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Btu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mmBtu      </a:t>
          </a:r>
          <a:r>
            <a:rPr lang="en-US" cap="none" sz="11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a:t>
          </a:r>
          <a:r>
            <a:rPr lang="en-US" cap="none" sz="10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  hour           hour      gallon     1,000,000 Btu</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Annual Fuel Usage is calculated as follows: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thousand gallons</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gallons</a:t>
          </a:r>
          <a:r>
            <a:rPr lang="en-US" cap="none" sz="1100" b="0" i="0" u="none" baseline="0">
              <a:solidFill>
                <a:srgbClr val="000000"/>
              </a:solidFill>
              <a:latin typeface="Calibri"/>
              <a:ea typeface="Calibri"/>
              <a:cs typeface="Calibri"/>
            </a:rPr>
            <a:t>  x  operational </a:t>
          </a:r>
          <a:r>
            <a:rPr lang="en-US" cap="none" sz="1100" b="0" i="0" u="sng" baseline="0">
              <a:solidFill>
                <a:srgbClr val="000000"/>
              </a:solidFill>
              <a:latin typeface="Calibri"/>
              <a:ea typeface="Calibri"/>
              <a:cs typeface="Calibri"/>
            </a:rPr>
            <a:t>hours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thousand gallons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year                     hour                                  year          1,000 gallons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82</xdr:row>
      <xdr:rowOff>9525</xdr:rowOff>
    </xdr:from>
    <xdr:to>
      <xdr:col>6</xdr:col>
      <xdr:colOff>819150</xdr:colOff>
      <xdr:row>118</xdr:row>
      <xdr:rowOff>57150</xdr:rowOff>
    </xdr:to>
    <xdr:sp>
      <xdr:nvSpPr>
        <xdr:cNvPr id="2" name="TextBox 2"/>
        <xdr:cNvSpPr txBox="1">
          <a:spLocks noChangeArrowheads="1"/>
        </xdr:cNvSpPr>
      </xdr:nvSpPr>
      <xdr:spPr>
        <a:xfrm>
          <a:off x="47625" y="16021050"/>
          <a:ext cx="8782050" cy="587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Sulfur in Diesel Fuel is Calculated as follows: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parts    </a:t>
          </a:r>
          <a:r>
            <a:rPr lang="en-US" cap="none" sz="1100" b="0" i="0" u="none" baseline="0">
              <a:solidFill>
                <a:srgbClr val="000000"/>
              </a:solidFill>
              <a:latin typeface="Calibri"/>
              <a:ea typeface="Calibri"/>
              <a:cs typeface="Calibri"/>
            </a:rPr>
            <a:t>  x 100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1,000, 000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Short-Term Emissions in lb per hour are calculated as follows: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grams</a:t>
          </a:r>
          <a:r>
            <a:rPr lang="en-US" cap="none" sz="1100" b="0" i="0" u="none" baseline="0">
              <a:solidFill>
                <a:srgbClr val="000000"/>
              </a:solidFill>
              <a:latin typeface="Calibri"/>
              <a:ea typeface="Calibri"/>
              <a:cs typeface="Calibri"/>
            </a:rPr>
            <a:t>  x   hp  x </a:t>
          </a:r>
          <a:r>
            <a:rPr lang="en-US" cap="none" sz="1100" b="0" i="0" u="sng" baseline="0">
              <a:solidFill>
                <a:srgbClr val="000000"/>
              </a:solidFill>
              <a:latin typeface="Calibri"/>
              <a:ea typeface="Calibri"/>
              <a:cs typeface="Calibri"/>
            </a:rPr>
            <a:t>         lb              </a:t>
          </a:r>
          <a:r>
            <a:rPr lang="en-US" cap="none" sz="11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hour       hp hr                 453.59 grams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hp
</a:t>
          </a:r>
          <a:r>
            <a:rPr lang="en-US" cap="none" sz="1100" b="0" i="0" u="none" baseline="0">
              <a:solidFill>
                <a:srgbClr val="000000"/>
              </a:solidFill>
              <a:latin typeface="Calibri"/>
              <a:ea typeface="Calibri"/>
              <a:cs typeface="Calibri"/>
            </a:rPr>
            <a:t>hour      hp hr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  emission factor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mmBtu </a:t>
          </a:r>
          <a:r>
            <a:rPr lang="en-US" cap="none" sz="1100" b="0" i="0" u="sng" baseline="0">
              <a:solidFill>
                <a:srgbClr val="FFFFFF"/>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hour                                 mmBtu         hour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 emission factor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gallons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thousand gallons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hour                               thousand gallons        hour        1,000 gallons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Annual Emissions in tons per year are calculated as follows: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tons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grams</a:t>
          </a:r>
          <a:r>
            <a:rPr lang="en-US" cap="none" sz="1100" b="0" i="0" u="none" baseline="0">
              <a:solidFill>
                <a:srgbClr val="000000"/>
              </a:solidFill>
              <a:latin typeface="Calibri"/>
              <a:ea typeface="Calibri"/>
              <a:cs typeface="Calibri"/>
            </a:rPr>
            <a:t>  x   hp  x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hours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tons   </a:t>
          </a:r>
          <a:r>
            <a:rPr lang="en-US" cap="none" sz="1100" b="0" i="0" u="none" baseline="0">
              <a:solidFill>
                <a:srgbClr val="FFFFFF"/>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year       hp hr                 453.59 grams        year        2000 lb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tons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lbs   </a:t>
          </a:r>
          <a:r>
            <a:rPr lang="en-US" cap="none" sz="1100" b="0" i="0" u="none" baseline="0">
              <a:solidFill>
                <a:srgbClr val="000000"/>
              </a:solidFill>
              <a:latin typeface="Calibri"/>
              <a:ea typeface="Calibri"/>
              <a:cs typeface="Calibri"/>
            </a:rPr>
            <a:t>  x   hp  x   </a:t>
          </a:r>
          <a:r>
            <a:rPr lang="en-US" cap="none" sz="1100" b="0" i="0" u="sng" baseline="0">
              <a:solidFill>
                <a:srgbClr val="000000"/>
              </a:solidFill>
              <a:latin typeface="Calibri"/>
              <a:ea typeface="Calibri"/>
              <a:cs typeface="Calibri"/>
            </a:rPr>
            <a:t>hours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tons   </a:t>
          </a:r>
          <a:r>
            <a:rPr lang="en-US" cap="none" sz="1100" b="0" i="0" u="none" baseline="0">
              <a:solidFill>
                <a:srgbClr val="FFFFFF"/>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year       hp hr                     year        2000 lb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tons</a:t>
          </a:r>
          <a:r>
            <a:rPr lang="en-US" cap="none" sz="1100" b="0" i="0" u="none" baseline="0">
              <a:solidFill>
                <a:srgbClr val="000000"/>
              </a:solidFill>
              <a:latin typeface="Calibri"/>
              <a:ea typeface="Calibri"/>
              <a:cs typeface="Calibri"/>
            </a:rPr>
            <a:t>   =  emission factor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mmBtu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hours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tons    </a:t>
          </a:r>
          <a:r>
            <a:rPr lang="en-US" cap="none" sz="1100" b="0" i="0" u="sng" baseline="0">
              <a:solidFill>
                <a:srgbClr val="FFFFFF"/>
              </a:solidFill>
              <a:latin typeface="Calibri"/>
              <a:ea typeface="Calibri"/>
              <a:cs typeface="Calibri"/>
            </a:rPr>
            <a:t>.</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year                                      mmBtu               hour                 year          2000 lb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tons</a:t>
          </a:r>
          <a:r>
            <a:rPr lang="en-US" cap="none" sz="1100" b="0" i="0" u="none" baseline="0">
              <a:solidFill>
                <a:srgbClr val="000000"/>
              </a:solidFill>
              <a:latin typeface="Calibri"/>
              <a:ea typeface="Calibri"/>
              <a:cs typeface="Calibri"/>
            </a:rPr>
            <a:t> = emission factor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thousand gallons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year                                 thousand gallons                 year                2000 lb
</a:t>
          </a:r>
          <a:r>
            <a:rPr lang="en-US" cap="none" sz="1100" b="0" i="0" u="none" baseline="0">
              <a:solidFill>
                <a:srgbClr val="000000"/>
              </a:solidFill>
              <a:latin typeface="Calibri"/>
              <a:ea typeface="Calibri"/>
              <a:cs typeface="Calibri"/>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39</xdr:row>
      <xdr:rowOff>38100</xdr:rowOff>
    </xdr:from>
    <xdr:to>
      <xdr:col>3</xdr:col>
      <xdr:colOff>771525</xdr:colOff>
      <xdr:row>81</xdr:row>
      <xdr:rowOff>57150</xdr:rowOff>
    </xdr:to>
    <xdr:sp>
      <xdr:nvSpPr>
        <xdr:cNvPr id="1" name="Text Box 1"/>
        <xdr:cNvSpPr txBox="1">
          <a:spLocks noChangeArrowheads="1"/>
        </xdr:cNvSpPr>
      </xdr:nvSpPr>
      <xdr:spPr>
        <a:xfrm>
          <a:off x="180975" y="7124700"/>
          <a:ext cx="5886450" cy="6819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feet = meters x </a:t>
          </a:r>
          <a:r>
            <a:rPr lang="en-US" cap="none" sz="1100" b="0" i="0" u="sng" baseline="0">
              <a:solidFill>
                <a:srgbClr val="000000"/>
              </a:solidFill>
              <a:latin typeface="Calibri"/>
              <a:ea typeface="Calibri"/>
              <a:cs typeface="Calibri"/>
            </a:rPr>
            <a:t>3.281 feet
</a:t>
          </a:r>
          <a:r>
            <a:rPr lang="en-US" cap="none" sz="1100" b="0" i="0" u="none" baseline="0">
              <a:solidFill>
                <a:srgbClr val="000000"/>
              </a:solidFill>
              <a:latin typeface="Calibri"/>
              <a:ea typeface="Calibri"/>
              <a:cs typeface="Calibri"/>
            </a:rPr>
            <a:t>                                meters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 = [</a:t>
          </a:r>
          <a:r>
            <a:rPr lang="en-US" cap="none" sz="1100" b="0" i="0" u="sng"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F-32)] + 273.15</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9</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cubic meters</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cubic feet </a:t>
          </a:r>
          <a:r>
            <a:rPr lang="en-US" cap="none" sz="1000" b="0" i="0" u="none" baseline="0">
              <a:solidFill>
                <a:srgbClr val="000000"/>
              </a:solidFill>
              <a:latin typeface="Arial"/>
              <a:ea typeface="Arial"/>
              <a:cs typeface="Arial"/>
            </a:rPr>
            <a:t>x   </a:t>
          </a:r>
          <a:r>
            <a:rPr lang="en-US" cap="none" sz="1000" b="0" i="0" u="sng" baseline="0">
              <a:solidFill>
                <a:srgbClr val="000000"/>
              </a:solidFill>
              <a:latin typeface="Arial"/>
              <a:ea typeface="Arial"/>
              <a:cs typeface="Arial"/>
            </a:rPr>
            <a:t>  cubic meters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minute        </a:t>
          </a:r>
          <a:r>
            <a:rPr lang="en-US" cap="none" sz="1000" b="0" i="0" u="sng" baseline="0">
              <a:solidFill>
                <a:srgbClr val="FFFFFF"/>
              </a:solidFill>
              <a:latin typeface="Arial"/>
              <a:ea typeface="Arial"/>
              <a:cs typeface="Arial"/>
            </a:rPr>
            <a:t>.</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second          minute          35.31 cubic feet       60 seconds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Flowrate = Exit Velocity x Area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Exit velocity  (</a:t>
          </a:r>
          <a:r>
            <a:rPr lang="en-US" cap="none" sz="1000" b="0" i="0" u="sng" baseline="0">
              <a:solidFill>
                <a:srgbClr val="000000"/>
              </a:solidFill>
              <a:latin typeface="Arial"/>
              <a:ea typeface="Arial"/>
              <a:cs typeface="Arial"/>
            </a:rPr>
            <a:t>     meters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Flowrate (cubic meters/second)    </a:t>
          </a:r>
          <a:r>
            <a:rPr lang="en-US" cap="none" sz="1000" b="0" i="0" u="sng" baseline="0">
              <a:solidFill>
                <a:srgbClr val="FFFFFF"/>
              </a:solidFill>
              <a:latin typeface="Arial"/>
              <a:ea typeface="Arial"/>
              <a:cs typeface="Arial"/>
            </a:rPr>
            <a:t>.</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second          PI x (stack diameter (meters)/2)</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feet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meters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3.281 feet
</a:t>
          </a:r>
          <a:r>
            <a:rPr lang="en-US" cap="none" sz="1000" b="0" i="0" u="none" baseline="0">
              <a:solidFill>
                <a:srgbClr val="000000"/>
              </a:solidFill>
              <a:latin typeface="Arial"/>
              <a:ea typeface="Arial"/>
              <a:cs typeface="Arial"/>
            </a:rPr>
            <a:t>second      second        meter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water ppm = mg/liter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lb/gallon is calculated as follows:</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mg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3.79 liters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grams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lb             </a:t>
          </a:r>
          <a:r>
            <a:rPr lang="en-US" cap="none" sz="1000" b="0" i="0" u="sng" baseline="0">
              <a:solidFill>
                <a:srgbClr val="FFFFFF"/>
              </a:solidFill>
              <a:latin typeface="Arial"/>
              <a:ea typeface="Arial"/>
              <a:cs typeface="Arial"/>
            </a:rPr>
            <a:t>.</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gallon        liter           gallons       1000 mg      453.69 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Peak drift in gallons/minute is calculated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drift </a:t>
          </a:r>
          <a:r>
            <a:rPr lang="en-US" cap="none" sz="1000" b="0" i="0" u="sng" baseline="0">
              <a:solidFill>
                <a:srgbClr val="000000"/>
              </a:solidFill>
              <a:latin typeface="Arial"/>
              <a:ea typeface="Arial"/>
              <a:cs typeface="Arial"/>
            </a:rPr>
            <a:t>gallons</a:t>
          </a:r>
          <a:r>
            <a:rPr lang="en-US" cap="none" sz="1000" b="0" i="0" u="none" baseline="0">
              <a:solidFill>
                <a:srgbClr val="000000"/>
              </a:solidFill>
              <a:latin typeface="Arial"/>
              <a:ea typeface="Arial"/>
              <a:cs typeface="Arial"/>
            </a:rPr>
            <a:t>    =    tower flowrate </a:t>
          </a:r>
          <a:r>
            <a:rPr lang="en-US" cap="none" sz="1000" b="0" i="0" u="sng" baseline="0">
              <a:solidFill>
                <a:srgbClr val="000000"/>
              </a:solidFill>
              <a:latin typeface="Arial"/>
              <a:ea typeface="Arial"/>
              <a:cs typeface="Arial"/>
            </a:rPr>
            <a:t>gallons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drift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minute                                  minute         100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Emissions from Tower in lbs/hour is calculated as follows: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lbs </a:t>
          </a:r>
          <a:r>
            <a:rPr lang="en-US" cap="none" sz="1000" b="0" i="0" u="none" baseline="0">
              <a:solidFill>
                <a:srgbClr val="000000"/>
              </a:solidFill>
              <a:latin typeface="Arial"/>
              <a:ea typeface="Arial"/>
              <a:cs typeface="Arial"/>
            </a:rPr>
            <a:t>  = dissolved solids</a:t>
          </a:r>
          <a:r>
            <a:rPr lang="en-US" cap="none" sz="1000" b="0" i="0" u="sng" baseline="0">
              <a:solidFill>
                <a:srgbClr val="000000"/>
              </a:solidFill>
              <a:latin typeface="Arial"/>
              <a:ea typeface="Arial"/>
              <a:cs typeface="Arial"/>
            </a:rPr>
            <a:t>  lbs   </a:t>
          </a:r>
          <a:r>
            <a:rPr lang="en-US" cap="none" sz="1000" b="0" i="0" u="none" baseline="0">
              <a:solidFill>
                <a:srgbClr val="000000"/>
              </a:solidFill>
              <a:latin typeface="Arial"/>
              <a:ea typeface="Arial"/>
              <a:cs typeface="Arial"/>
            </a:rPr>
            <a:t>x drift </a:t>
          </a:r>
          <a:r>
            <a:rPr lang="en-US" cap="none" sz="1000" b="0" i="0" u="sng" baseline="0">
              <a:solidFill>
                <a:srgbClr val="000000"/>
              </a:solidFill>
              <a:latin typeface="Arial"/>
              <a:ea typeface="Arial"/>
              <a:cs typeface="Arial"/>
            </a:rPr>
            <a:t>gallons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60 minutes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hour                              gallon           minute        hour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Particulate Emissions from Tower in tons/year is calculated as follows: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8760 hours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tons  </a:t>
          </a:r>
          <a:r>
            <a:rPr lang="en-US" cap="none" sz="1000" b="0" i="0" u="none" baseline="0">
              <a:solidFill>
                <a:srgbClr val="000000"/>
              </a:solidFill>
              <a:latin typeface="Arial"/>
              <a:ea typeface="Arial"/>
              <a:cs typeface="Arial"/>
            </a:rPr>
            <a:t>   x capacity factor
</a:t>
          </a:r>
          <a:r>
            <a:rPr lang="en-US" cap="none" sz="1000" b="0" i="0" u="none" baseline="0">
              <a:solidFill>
                <a:srgbClr val="000000"/>
              </a:solidFill>
              <a:latin typeface="Arial"/>
              <a:ea typeface="Arial"/>
              <a:cs typeface="Arial"/>
            </a:rPr>
            <a:t>year    hour           year          2000 lb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PM</a:t>
          </a:r>
          <a:r>
            <a:rPr lang="en-US" cap="none" sz="1000" b="0" i="0" u="none"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 and PM</a:t>
          </a:r>
          <a:r>
            <a:rPr lang="en-US" cap="none" sz="1000" b="0" i="0" u="none" baseline="-25000">
              <a:solidFill>
                <a:srgbClr val="000000"/>
              </a:solidFill>
              <a:latin typeface="Arial"/>
              <a:ea typeface="Arial"/>
              <a:cs typeface="Arial"/>
            </a:rPr>
            <a:t>2.5</a:t>
          </a:r>
          <a:r>
            <a:rPr lang="en-US" cap="none" sz="1000" b="0" i="0" u="none" baseline="0">
              <a:solidFill>
                <a:srgbClr val="000000"/>
              </a:solidFill>
              <a:latin typeface="Arial"/>
              <a:ea typeface="Arial"/>
              <a:cs typeface="Arial"/>
            </a:rPr>
            <a:t> Emissions are Calculated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PM</a:t>
          </a:r>
          <a:r>
            <a:rPr lang="en-US" cap="none" sz="1000" b="0" i="0" u="none"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 Emissions = PM Emissions x </a:t>
          </a:r>
          <a:r>
            <a:rPr lang="en-US" cap="none" sz="1000" b="0" i="0" u="sng" baseline="0">
              <a:solidFill>
                <a:srgbClr val="000000"/>
              </a:solidFill>
              <a:latin typeface="Arial"/>
              <a:ea typeface="Arial"/>
              <a:cs typeface="Arial"/>
            </a:rPr>
            <a:t>% PM</a:t>
          </a:r>
          <a:r>
            <a:rPr lang="en-US" cap="none" sz="1000" b="0" i="0" u="sng"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PM</a:t>
          </a:r>
          <a:r>
            <a:rPr lang="en-US" cap="none" sz="1100" b="0" i="0" u="none" baseline="-25000">
              <a:solidFill>
                <a:srgbClr val="000000"/>
              </a:solidFill>
              <a:latin typeface="Calibri"/>
              <a:ea typeface="Calibri"/>
              <a:cs typeface="Calibri"/>
            </a:rPr>
            <a:t>2.5</a:t>
          </a:r>
          <a:r>
            <a:rPr lang="en-US" cap="none" sz="1100" b="0" i="0" u="none" baseline="0">
              <a:solidFill>
                <a:srgbClr val="000000"/>
              </a:solidFill>
              <a:latin typeface="Calibri"/>
              <a:ea typeface="Calibri"/>
              <a:cs typeface="Calibri"/>
            </a:rPr>
            <a:t> Emissions = PM Emissions x </a:t>
          </a:r>
          <a:r>
            <a:rPr lang="en-US" cap="none" sz="1100" b="0" i="0" u="sng" baseline="0">
              <a:solidFill>
                <a:srgbClr val="000000"/>
              </a:solidFill>
              <a:latin typeface="Calibri"/>
              <a:ea typeface="Calibri"/>
              <a:cs typeface="Calibri"/>
            </a:rPr>
            <a:t>% PM</a:t>
          </a:r>
          <a:r>
            <a:rPr lang="en-US" cap="none" sz="1100" b="0" i="0" u="sng" baseline="-25000">
              <a:solidFill>
                <a:srgbClr val="000000"/>
              </a:solidFill>
              <a:latin typeface="Calibri"/>
              <a:ea typeface="Calibri"/>
              <a:cs typeface="Calibri"/>
            </a:rPr>
            <a:t>2.5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100</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125</xdr:row>
      <xdr:rowOff>0</xdr:rowOff>
    </xdr:from>
    <xdr:to>
      <xdr:col>6</xdr:col>
      <xdr:colOff>695325</xdr:colOff>
      <xdr:row>157</xdr:row>
      <xdr:rowOff>0</xdr:rowOff>
    </xdr:to>
    <xdr:sp>
      <xdr:nvSpPr>
        <xdr:cNvPr id="2" name="TextBox 2"/>
        <xdr:cNvSpPr txBox="1">
          <a:spLocks noChangeArrowheads="1"/>
        </xdr:cNvSpPr>
      </xdr:nvSpPr>
      <xdr:spPr>
        <a:xfrm>
          <a:off x="47625" y="21402675"/>
          <a:ext cx="8486775" cy="518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 Mass Smaller = 100 - % Mass Larger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Equation 7 from  "Calculating Realistic PM10 Emissions from Cooling Towers", Joel Reisman and Gordon Frisbie, Environmental Progress, Volume 21, Issue 2, pages 127-130, July 2002: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Diameter of Solid Particle </a:t>
          </a:r>
          <a:r>
            <a:rPr lang="en-US" cap="none" sz="1100" b="0" i="0" u="none" baseline="0">
              <a:solidFill>
                <a:srgbClr val="000000"/>
              </a:solidFill>
              <a:latin typeface="Arial"/>
              <a:ea typeface="Arial"/>
              <a:cs typeface="Arial"/>
            </a:rPr>
            <a:t>μ</a:t>
          </a:r>
          <a:r>
            <a:rPr lang="en-US" cap="none" sz="1100" b="0" i="0" u="none" baseline="0">
              <a:solidFill>
                <a:srgbClr val="000000"/>
              </a:solidFill>
              <a:latin typeface="Arial"/>
              <a:ea typeface="Arial"/>
              <a:cs typeface="Arial"/>
            </a:rPr>
            <a:t>m = Diameter of Droplet </a:t>
          </a:r>
          <a:r>
            <a:rPr lang="en-US" cap="none" sz="1100" b="0" i="0" u="none" baseline="0">
              <a:solidFill>
                <a:srgbClr val="000000"/>
              </a:solidFill>
              <a:latin typeface="Arial"/>
              <a:ea typeface="Arial"/>
              <a:cs typeface="Arial"/>
            </a:rPr>
            <a:t>μ</a:t>
          </a:r>
          <a:r>
            <a:rPr lang="en-US" cap="none" sz="1100" b="0" i="0" u="none" baseline="0">
              <a:solidFill>
                <a:srgbClr val="000000"/>
              </a:solidFill>
              <a:latin typeface="Arial"/>
              <a:ea typeface="Arial"/>
              <a:cs typeface="Arial"/>
            </a:rPr>
            <a:t>m x [Total Dissolved Solids ppmw x (Density of Water/Density of TDS)]</a:t>
          </a:r>
          <a:r>
            <a:rPr lang="en-US" cap="none" sz="1100" b="0" i="0" u="none" baseline="30000">
              <a:solidFill>
                <a:srgbClr val="000000"/>
              </a:solidFill>
              <a:latin typeface="Arial"/>
              <a:ea typeface="Arial"/>
              <a:cs typeface="Arial"/>
            </a:rPr>
            <a:t>1/3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Density of Water = 1.0 </a:t>
          </a:r>
          <a:r>
            <a:rPr lang="en-US" cap="none" sz="1100" b="0" i="0" u="sng" baseline="0">
              <a:solidFill>
                <a:srgbClr val="000000"/>
              </a:solidFill>
              <a:latin typeface="Arial"/>
              <a:ea typeface="Arial"/>
              <a:cs typeface="Arial"/>
            </a:rPr>
            <a:t>  g    </a:t>
          </a:r>
          <a:r>
            <a:rPr lang="en-US" cap="none" sz="1100" b="0" i="0" u="none" baseline="0">
              <a:solidFill>
                <a:srgbClr val="000000"/>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000000"/>
              </a:solidFill>
              <a:latin typeface="Arial"/>
              <a:ea typeface="Arial"/>
              <a:cs typeface="Arial"/>
            </a:rPr>
            <a:t>                                     cm</a:t>
          </a:r>
          <a:r>
            <a:rPr lang="en-US" cap="none" sz="1100" b="0" i="0" u="none" baseline="30000">
              <a:solidFill>
                <a:srgbClr val="000000"/>
              </a:solidFill>
              <a:latin typeface="Arial"/>
              <a:ea typeface="Arial"/>
              <a:cs typeface="Arial"/>
            </a:rPr>
            <a:t>3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Density of TDS = Density of Sodium Chloride = 2.2  </a:t>
          </a:r>
          <a:r>
            <a:rPr lang="en-US" cap="none" sz="1100" b="0" i="0" u="sng" baseline="0">
              <a:solidFill>
                <a:srgbClr val="000000"/>
              </a:solidFill>
              <a:latin typeface="Arial"/>
              <a:ea typeface="Arial"/>
              <a:cs typeface="Arial"/>
            </a:rPr>
            <a:t>  g   </a:t>
          </a:r>
          <a:r>
            <a:rPr lang="en-US" cap="none" sz="1100" b="0" i="0" u="none" baseline="0">
              <a:solidFill>
                <a:srgbClr val="000000"/>
              </a:solidFill>
              <a:latin typeface="Arial"/>
              <a:ea typeface="Arial"/>
              <a:cs typeface="Arial"/>
            </a:rPr>
            <a:t>  </a:t>
          </a:r>
          <a:r>
            <a:rPr lang="en-US" cap="none" sz="1100" b="0" i="0" u="none" baseline="0">
              <a:solidFill>
                <a:srgbClr val="FFFFFF"/>
              </a:solidFill>
              <a:latin typeface="Arial"/>
              <a:ea typeface="Arial"/>
              <a:cs typeface="Arial"/>
            </a:rPr>
            <a:t>.
</a:t>
          </a:r>
          <a:r>
            <a:rPr lang="en-US" cap="none" sz="1100" b="0" i="0" u="none" baseline="0">
              <a:solidFill>
                <a:srgbClr val="000000"/>
              </a:solidFill>
              <a:latin typeface="Arial"/>
              <a:ea typeface="Arial"/>
              <a:cs typeface="Arial"/>
            </a:rPr>
            <a:t>                                                                                   cm</a:t>
          </a:r>
          <a:r>
            <a:rPr lang="en-US" cap="none" sz="1100" b="0" i="0" u="none" baseline="30000">
              <a:solidFill>
                <a:srgbClr val="000000"/>
              </a:solidFill>
              <a:latin typeface="Arial"/>
              <a:ea typeface="Arial"/>
              <a:cs typeface="Arial"/>
            </a:rPr>
            <a:t>3
</a:t>
          </a:r>
          <a:r>
            <a:rPr lang="en-US" cap="none" sz="1100" b="0" i="0" u="none" baseline="30000">
              <a:solidFill>
                <a:srgbClr val="000000"/>
              </a:solidFill>
              <a:latin typeface="Arial"/>
              <a:ea typeface="Arial"/>
              <a:cs typeface="Arial"/>
            </a:rPr>
            <a:t>
</a:t>
          </a:r>
          <a:r>
            <a:rPr lang="en-US" cap="none" sz="1100" b="0" i="0" u="none" baseline="0">
              <a:solidFill>
                <a:srgbClr val="000000"/>
              </a:solidFill>
              <a:latin typeface="Arial"/>
              <a:ea typeface="Arial"/>
              <a:cs typeface="Arial"/>
            </a:rPr>
            <a:t>Diameter of Solid Particle </a:t>
          </a:r>
          <a:r>
            <a:rPr lang="en-US" cap="none" sz="1100" b="0" i="0" u="none" baseline="0">
              <a:solidFill>
                <a:srgbClr val="000000"/>
              </a:solidFill>
              <a:latin typeface="Arial"/>
              <a:ea typeface="Arial"/>
              <a:cs typeface="Arial"/>
            </a:rPr>
            <a:t>μ</a:t>
          </a:r>
          <a:r>
            <a:rPr lang="en-US" cap="none" sz="1100" b="0" i="0" u="none" baseline="0">
              <a:solidFill>
                <a:srgbClr val="000000"/>
              </a:solidFill>
              <a:latin typeface="Arial"/>
              <a:ea typeface="Arial"/>
              <a:cs typeface="Arial"/>
            </a:rPr>
            <a:t>m = Diameter of Droplet </a:t>
          </a:r>
          <a:r>
            <a:rPr lang="en-US" cap="none" sz="1100" b="0" i="0" u="none" baseline="0">
              <a:solidFill>
                <a:srgbClr val="000000"/>
              </a:solidFill>
              <a:latin typeface="Arial"/>
              <a:ea typeface="Arial"/>
              <a:cs typeface="Arial"/>
            </a:rPr>
            <a:t>μ</a:t>
          </a:r>
          <a:r>
            <a:rPr lang="en-US" cap="none" sz="1100" b="0" i="0" u="none" baseline="0">
              <a:solidFill>
                <a:srgbClr val="000000"/>
              </a:solidFill>
              <a:latin typeface="Arial"/>
              <a:ea typeface="Arial"/>
              <a:cs typeface="Arial"/>
            </a:rPr>
            <a:t>m x [Total Dissolved Solids </a:t>
          </a:r>
          <a:r>
            <a:rPr lang="en-US" cap="none" sz="1100" b="0" i="0" u="sng" baseline="0">
              <a:solidFill>
                <a:srgbClr val="000000"/>
              </a:solidFill>
              <a:latin typeface="Arial"/>
              <a:ea typeface="Arial"/>
              <a:cs typeface="Arial"/>
            </a:rPr>
            <a:t>        parts           </a:t>
          </a:r>
          <a:r>
            <a:rPr lang="en-US" cap="none" sz="1100" b="0" i="0" u="none" baseline="0">
              <a:solidFill>
                <a:srgbClr val="000000"/>
              </a:solidFill>
              <a:latin typeface="Arial"/>
              <a:ea typeface="Arial"/>
              <a:cs typeface="Arial"/>
            </a:rPr>
            <a:t>  x (1.0 g/cm</a:t>
          </a:r>
          <a:r>
            <a:rPr lang="en-US" cap="none" sz="1100" b="0" i="0" u="none" baseline="30000">
              <a:solidFill>
                <a:srgbClr val="000000"/>
              </a:solidFill>
              <a:latin typeface="Arial"/>
              <a:ea typeface="Arial"/>
              <a:cs typeface="Arial"/>
            </a:rPr>
            <a:t>3</a:t>
          </a:r>
          <a:r>
            <a:rPr lang="en-US" cap="none" sz="1100" b="0" i="0" u="none" baseline="0">
              <a:solidFill>
                <a:srgbClr val="000000"/>
              </a:solidFill>
              <a:latin typeface="Arial"/>
              <a:ea typeface="Arial"/>
              <a:cs typeface="Arial"/>
            </a:rPr>
            <a:t>/2.2 g/cm</a:t>
          </a:r>
          <a:r>
            <a:rPr lang="en-US" cap="none" sz="1100" b="0" i="0" u="none" baseline="30000">
              <a:solidFill>
                <a:srgbClr val="000000"/>
              </a:solidFill>
              <a:latin typeface="Arial"/>
              <a:ea typeface="Arial"/>
              <a:cs typeface="Arial"/>
            </a:rPr>
            <a:t>3</a:t>
          </a:r>
          <a:r>
            <a:rPr lang="en-US" cap="none" sz="1100" b="0" i="0" u="none" baseline="0">
              <a:solidFill>
                <a:srgbClr val="000000"/>
              </a:solidFill>
              <a:latin typeface="Arial"/>
              <a:ea typeface="Arial"/>
              <a:cs typeface="Arial"/>
            </a:rPr>
            <a:t>)]</a:t>
          </a:r>
          <a:r>
            <a:rPr lang="en-US" cap="none" sz="1100" b="0" i="0" u="none" baseline="30000">
              <a:solidFill>
                <a:srgbClr val="000000"/>
              </a:solidFill>
              <a:latin typeface="Arial"/>
              <a:ea typeface="Arial"/>
              <a:cs typeface="Arial"/>
            </a:rPr>
            <a:t>1/3
</a:t>
          </a:r>
          <a:r>
            <a:rPr lang="en-US" cap="none" sz="1100" b="0" i="0" u="none" baseline="30000">
              <a:solidFill>
                <a:srgbClr val="000000"/>
              </a:solidFill>
              <a:latin typeface="Arial"/>
              <a:ea typeface="Arial"/>
              <a:cs typeface="Arial"/>
            </a:rPr>
            <a:t>                                                                                                                                                                                                   </a:t>
          </a:r>
          <a:r>
            <a:rPr lang="en-US" cap="none" sz="1100" b="0" i="0" u="none" baseline="0">
              <a:solidFill>
                <a:srgbClr val="000000"/>
              </a:solidFill>
              <a:latin typeface="Arial"/>
              <a:ea typeface="Arial"/>
              <a:cs typeface="Arial"/>
            </a:rPr>
            <a:t>1,000,000 parts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Determine % Smaller than 10</a:t>
          </a:r>
          <a:r>
            <a:rPr lang="en-US" cap="none" sz="1100" b="0" i="0" u="none" baseline="0">
              <a:solidFill>
                <a:srgbClr val="000000"/>
              </a:solidFill>
              <a:latin typeface="Arial"/>
              <a:ea typeface="Arial"/>
              <a:cs typeface="Arial"/>
            </a:rPr>
            <a:t>μ</a:t>
          </a:r>
          <a:r>
            <a:rPr lang="en-US" cap="none" sz="1100" b="0" i="0" u="none" baseline="0">
              <a:solidFill>
                <a:srgbClr val="000000"/>
              </a:solidFill>
              <a:latin typeface="Arial"/>
              <a:ea typeface="Arial"/>
              <a:cs typeface="Arial"/>
            </a:rPr>
            <a:t>m and less than 2.5</a:t>
          </a:r>
          <a:r>
            <a:rPr lang="en-US" cap="none" sz="1100" b="0" i="0" u="none" baseline="0">
              <a:solidFill>
                <a:srgbClr val="000000"/>
              </a:solidFill>
              <a:latin typeface="Arial"/>
              <a:ea typeface="Arial"/>
              <a:cs typeface="Arial"/>
            </a:rPr>
            <a:t>μ</a:t>
          </a:r>
          <a:r>
            <a:rPr lang="en-US" cap="none" sz="1100" b="0" i="0" u="none" baseline="0">
              <a:solidFill>
                <a:srgbClr val="000000"/>
              </a:solidFill>
              <a:latin typeface="Arial"/>
              <a:ea typeface="Arial"/>
              <a:cs typeface="Arial"/>
            </a:rPr>
            <a:t>m, first calculate the droplet size that corresponds to the particle size: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Diameter of Droplet </a:t>
          </a:r>
          <a:r>
            <a:rPr lang="en-US" cap="none" sz="1100" b="0" i="0" u="none" baseline="0">
              <a:solidFill>
                <a:srgbClr val="000000"/>
              </a:solidFill>
              <a:latin typeface="Arial"/>
              <a:ea typeface="Arial"/>
              <a:cs typeface="Arial"/>
            </a:rPr>
            <a:t>μ</a:t>
          </a:r>
          <a:r>
            <a:rPr lang="en-US" cap="none" sz="1100" b="0" i="0" u="none" baseline="0">
              <a:solidFill>
                <a:srgbClr val="000000"/>
              </a:solidFill>
              <a:latin typeface="Arial"/>
              <a:ea typeface="Arial"/>
              <a:cs typeface="Arial"/>
            </a:rPr>
            <a:t>m = </a:t>
          </a:r>
          <a:r>
            <a:rPr lang="en-US" cap="none" sz="1100" b="0" i="0" u="sng" baseline="0">
              <a:solidFill>
                <a:srgbClr val="000000"/>
              </a:solidFill>
              <a:latin typeface="Arial"/>
              <a:ea typeface="Arial"/>
              <a:cs typeface="Arial"/>
            </a:rPr>
            <a:t>                   Diameter of Solid Particle </a:t>
          </a:r>
          <a:r>
            <a:rPr lang="en-US" cap="none" sz="1100" b="0" i="0" u="sng" baseline="0">
              <a:solidFill>
                <a:srgbClr val="000000"/>
              </a:solidFill>
              <a:latin typeface="Arial"/>
              <a:ea typeface="Arial"/>
              <a:cs typeface="Arial"/>
            </a:rPr>
            <a:t>μ</a:t>
          </a:r>
          <a:r>
            <a:rPr lang="en-US" cap="none" sz="1100" b="0" i="0" u="sng" baseline="0">
              <a:solidFill>
                <a:srgbClr val="000000"/>
              </a:solidFill>
              <a:latin typeface="Arial"/>
              <a:ea typeface="Arial"/>
              <a:cs typeface="Arial"/>
            </a:rPr>
            <a:t>m                                        </a:t>
          </a:r>
          <a:r>
            <a:rPr lang="en-US" cap="none" sz="1100" b="0" i="0" u="none" baseline="0">
              <a:solidFill>
                <a:srgbClr val="FFFFFF"/>
              </a:solidFill>
              <a:latin typeface="Arial"/>
              <a:ea typeface="Arial"/>
              <a:cs typeface="Arial"/>
            </a:rPr>
            <a:t>.
</a:t>
          </a:r>
          <a:r>
            <a:rPr lang="en-US" cap="none" sz="1100" b="0" i="0" u="none" baseline="0">
              <a:solidFill>
                <a:srgbClr val="000000"/>
              </a:solidFill>
              <a:latin typeface="Arial"/>
              <a:ea typeface="Arial"/>
              <a:cs typeface="Arial"/>
            </a:rPr>
            <a:t>                                          [Total Dissolved Solids </a:t>
          </a:r>
          <a:r>
            <a:rPr lang="en-US" cap="none" sz="1100" b="0" i="0" u="sng" baseline="0">
              <a:solidFill>
                <a:srgbClr val="000000"/>
              </a:solidFill>
              <a:latin typeface="Arial"/>
              <a:ea typeface="Arial"/>
              <a:cs typeface="Arial"/>
            </a:rPr>
            <a:t>           parts       </a:t>
          </a:r>
          <a:r>
            <a:rPr lang="en-US" cap="none" sz="1100" b="0" i="0" u="none" baseline="0">
              <a:solidFill>
                <a:srgbClr val="000000"/>
              </a:solidFill>
              <a:latin typeface="Arial"/>
              <a:ea typeface="Arial"/>
              <a:cs typeface="Arial"/>
            </a:rPr>
            <a:t>  x (1.0 g/cm</a:t>
          </a:r>
          <a:r>
            <a:rPr lang="en-US" cap="none" sz="1100" b="0" i="0" u="none" baseline="30000">
              <a:solidFill>
                <a:srgbClr val="000000"/>
              </a:solidFill>
              <a:latin typeface="Arial"/>
              <a:ea typeface="Arial"/>
              <a:cs typeface="Arial"/>
            </a:rPr>
            <a:t>3</a:t>
          </a:r>
          <a:r>
            <a:rPr lang="en-US" cap="none" sz="1100" b="0" i="0" u="none" baseline="0">
              <a:solidFill>
                <a:srgbClr val="000000"/>
              </a:solidFill>
              <a:latin typeface="Arial"/>
              <a:ea typeface="Arial"/>
              <a:cs typeface="Arial"/>
            </a:rPr>
            <a:t>/2.2g/cm</a:t>
          </a:r>
          <a:r>
            <a:rPr lang="en-US" cap="none" sz="1100" b="0" i="0" u="none" baseline="30000">
              <a:solidFill>
                <a:srgbClr val="000000"/>
              </a:solidFill>
              <a:latin typeface="Arial"/>
              <a:ea typeface="Arial"/>
              <a:cs typeface="Arial"/>
            </a:rPr>
            <a:t>3</a:t>
          </a:r>
          <a:r>
            <a:rPr lang="en-US" cap="none" sz="1100" b="0" i="0" u="none" baseline="0">
              <a:solidFill>
                <a:srgbClr val="000000"/>
              </a:solidFill>
              <a:latin typeface="Arial"/>
              <a:ea typeface="Arial"/>
              <a:cs typeface="Arial"/>
            </a:rPr>
            <a:t>)]^(1/3)
</a:t>
          </a:r>
          <a:r>
            <a:rPr lang="en-US" cap="none" sz="1100" b="0" i="0" u="none" baseline="0">
              <a:solidFill>
                <a:srgbClr val="000000"/>
              </a:solidFill>
              <a:latin typeface="Arial"/>
              <a:ea typeface="Arial"/>
              <a:cs typeface="Arial"/>
            </a:rPr>
            <a:t>                                                                                1,000,000 parts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Then graph the cooling tower data to obtain the relationship between droplet size and % mass larger: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results in an exponential curve with the form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Mass Larger =  86.684e</a:t>
          </a:r>
          <a:r>
            <a:rPr lang="en-US" cap="none" sz="1100" b="0" i="0" u="none" baseline="30000">
              <a:solidFill>
                <a:srgbClr val="000000"/>
              </a:solidFill>
              <a:latin typeface="Arial"/>
              <a:ea typeface="Arial"/>
              <a:cs typeface="Arial"/>
            </a:rPr>
            <a:t>-(0.012x droplet diameter </a:t>
          </a:r>
          <a:r>
            <a:rPr lang="en-US" cap="none" sz="1100" b="0" i="0" u="none" baseline="30000">
              <a:solidFill>
                <a:srgbClr val="000000"/>
              </a:solidFill>
              <a:latin typeface="Arial"/>
              <a:ea typeface="Arial"/>
              <a:cs typeface="Arial"/>
            </a:rPr>
            <a:t>μ</a:t>
          </a:r>
          <a:r>
            <a:rPr lang="en-US" cap="none" sz="1100" b="0" i="0" u="none" baseline="30000">
              <a:solidFill>
                <a:srgbClr val="000000"/>
              </a:solidFill>
              <a:latin typeface="Arial"/>
              <a:ea typeface="Arial"/>
              <a:cs typeface="Arial"/>
            </a:rPr>
            <a:t>m)
</a:t>
          </a:r>
          <a:r>
            <a:rPr lang="en-US" cap="none" sz="1100" b="0" i="0" u="none" baseline="30000">
              <a:solidFill>
                <a:srgbClr val="000000"/>
              </a:solidFill>
              <a:latin typeface="Arial"/>
              <a:ea typeface="Arial"/>
              <a:cs typeface="Arial"/>
            </a:rPr>
            <a:t>
</a:t>
          </a:r>
          <a:r>
            <a:rPr lang="en-US" cap="none" sz="1100" b="0" i="0" u="none" baseline="0">
              <a:solidFill>
                <a:srgbClr val="000000"/>
              </a:solidFill>
              <a:latin typeface="Arial"/>
              <a:ea typeface="Arial"/>
              <a:cs typeface="Arial"/>
            </a:rPr>
            <a:t>Then calculate % Mass Smaller = 100 - % Mass Larger</a:t>
          </a:r>
        </a:p>
      </xdr:txBody>
    </xdr:sp>
    <xdr:clientData/>
  </xdr:twoCellAnchor>
  <xdr:twoCellAnchor>
    <xdr:from>
      <xdr:col>0</xdr:col>
      <xdr:colOff>180975</xdr:colOff>
      <xdr:row>101</xdr:row>
      <xdr:rowOff>9525</xdr:rowOff>
    </xdr:from>
    <xdr:to>
      <xdr:col>5</xdr:col>
      <xdr:colOff>85725</xdr:colOff>
      <xdr:row>122</xdr:row>
      <xdr:rowOff>104775</xdr:rowOff>
    </xdr:to>
    <xdr:graphicFrame>
      <xdr:nvGraphicFramePr>
        <xdr:cNvPr id="3" name="Chart 9"/>
        <xdr:cNvGraphicFramePr/>
      </xdr:nvGraphicFramePr>
      <xdr:xfrm>
        <a:off x="180975" y="17526000"/>
        <a:ext cx="6981825" cy="34956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29</xdr:row>
      <xdr:rowOff>9525</xdr:rowOff>
    </xdr:from>
    <xdr:to>
      <xdr:col>4</xdr:col>
      <xdr:colOff>76200</xdr:colOff>
      <xdr:row>55</xdr:row>
      <xdr:rowOff>95250</xdr:rowOff>
    </xdr:to>
    <xdr:sp>
      <xdr:nvSpPr>
        <xdr:cNvPr id="1" name="Text Box 6"/>
        <xdr:cNvSpPr txBox="1">
          <a:spLocks noChangeArrowheads="1"/>
        </xdr:cNvSpPr>
      </xdr:nvSpPr>
      <xdr:spPr>
        <a:xfrm>
          <a:off x="95250" y="5362575"/>
          <a:ext cx="6657975" cy="429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Cooling tower flow is from  spreadsheet titled "Cooling Tower PM/PM</a:t>
          </a:r>
          <a:r>
            <a:rPr lang="en-US" cap="none" sz="1100" b="0" i="0" u="none" baseline="-25000">
              <a:solidFill>
                <a:srgbClr val="000000"/>
              </a:solidFill>
              <a:latin typeface="Calibri"/>
              <a:ea typeface="Calibri"/>
              <a:cs typeface="Calibri"/>
            </a:rPr>
            <a:t>10</a:t>
          </a:r>
          <a:r>
            <a:rPr lang="en-US" cap="none" sz="1100" b="0" i="0" u="none" baseline="0">
              <a:solidFill>
                <a:srgbClr val="000000"/>
              </a:solidFill>
              <a:latin typeface="Calibri"/>
              <a:ea typeface="Calibri"/>
              <a:cs typeface="Calibri"/>
            </a:rPr>
            <a:t>/PM</a:t>
          </a:r>
          <a:r>
            <a:rPr lang="en-US" cap="none" sz="1100" b="0" i="0" u="none" baseline="-25000">
              <a:solidFill>
                <a:srgbClr val="000000"/>
              </a:solidFill>
              <a:latin typeface="Calibri"/>
              <a:ea typeface="Calibri"/>
              <a:cs typeface="Calibri"/>
            </a:rPr>
            <a:t>2.5</a:t>
          </a:r>
          <a:r>
            <a:rPr lang="en-US" cap="none" sz="1100" b="0" i="0" u="none" baseline="0">
              <a:solidFill>
                <a:srgbClr val="000000"/>
              </a:solidFill>
              <a:latin typeface="Calibri"/>
              <a:ea typeface="Calibri"/>
              <a:cs typeface="Calibri"/>
            </a:rPr>
            <a:t>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Chloroform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kg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3.785 liters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1000 g</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gallons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60 minutes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hour     10</a:t>
          </a:r>
          <a:r>
            <a:rPr lang="en-US" cap="none" sz="1100" b="0" i="0" u="none" baseline="30000">
              <a:solidFill>
                <a:srgbClr val="000000"/>
              </a:solidFill>
              <a:latin typeface="Calibri"/>
              <a:ea typeface="Calibri"/>
              <a:cs typeface="Calibri"/>
            </a:rPr>
            <a:t>9</a:t>
          </a:r>
          <a:r>
            <a:rPr lang="en-US" cap="none" sz="1100" b="0" i="0" u="none" baseline="0">
              <a:solidFill>
                <a:srgbClr val="000000"/>
              </a:solidFill>
              <a:latin typeface="Calibri"/>
              <a:ea typeface="Calibri"/>
              <a:cs typeface="Calibri"/>
            </a:rPr>
            <a:t> liters        gallon               kg        453.59 grams       minute            hour</a:t>
          </a:r>
          <a:r>
            <a:rPr lang="en-US" cap="none" sz="10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tons</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8760 hours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   x  capacity factor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year      hour            year           2000 lb</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Drift value comes from spreadsheet titled "Cooling Tower PM/PM</a:t>
          </a:r>
          <a:r>
            <a:rPr lang="en-US" cap="none" sz="1100" b="0" i="0" u="none" baseline="-25000">
              <a:solidFill>
                <a:srgbClr val="000000"/>
              </a:solidFill>
              <a:latin typeface="Calibri"/>
              <a:ea typeface="Calibri"/>
              <a:cs typeface="Calibri"/>
            </a:rPr>
            <a:t>10</a:t>
          </a:r>
          <a:r>
            <a:rPr lang="en-US" cap="none" sz="1100" b="0" i="0" u="none" baseline="0">
              <a:solidFill>
                <a:srgbClr val="000000"/>
              </a:solidFill>
              <a:latin typeface="Calibri"/>
              <a:ea typeface="Calibri"/>
              <a:cs typeface="Calibri"/>
            </a:rPr>
            <a:t>/PM</a:t>
          </a:r>
          <a:r>
            <a:rPr lang="en-US" cap="none" sz="1100" b="0" i="0" u="none" baseline="-25000">
              <a:solidFill>
                <a:srgbClr val="000000"/>
              </a:solidFill>
              <a:latin typeface="Calibri"/>
              <a:ea typeface="Calibri"/>
              <a:cs typeface="Calibri"/>
            </a:rPr>
            <a:t>2.5</a:t>
          </a:r>
          <a:r>
            <a:rPr lang="en-US" cap="none" sz="1100" b="0" i="0" u="none" baseline="0">
              <a:solidFill>
                <a:srgbClr val="000000"/>
              </a:solidFill>
              <a:latin typeface="Calibri"/>
              <a:ea typeface="Calibri"/>
              <a:cs typeface="Calibri"/>
            </a:rPr>
            <a:t> Emissions"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water, ppb =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μ</a:t>
          </a:r>
          <a:r>
            <a:rPr lang="en-US" cap="none" sz="1000" b="0" i="0" u="sng" baseline="0">
              <a:solidFill>
                <a:srgbClr val="000000"/>
              </a:solidFill>
              <a:latin typeface="Arial"/>
              <a:ea typeface="Arial"/>
              <a:cs typeface="Arial"/>
            </a:rPr>
            <a:t>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liter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μ</a:t>
          </a:r>
          <a:r>
            <a:rPr lang="en-US" cap="none" sz="1000" b="0" i="0" u="sng" baseline="0">
              <a:solidFill>
                <a:srgbClr val="000000"/>
              </a:solidFill>
              <a:latin typeface="Arial"/>
              <a:ea typeface="Arial"/>
              <a:cs typeface="Arial"/>
            </a:rPr>
            <a:t>g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3.785 liters</a:t>
          </a:r>
          <a:r>
            <a:rPr lang="en-US" cap="none" sz="1000" b="0" i="0" u="none" baseline="0">
              <a:solidFill>
                <a:srgbClr val="000000"/>
              </a:solidFill>
              <a:latin typeface="Arial"/>
              <a:ea typeface="Arial"/>
              <a:cs typeface="Arial"/>
            </a:rPr>
            <a:t>  x</a:t>
          </a:r>
          <a:r>
            <a:rPr lang="en-US" cap="none" sz="1000" b="0" i="0" u="sng" baseline="0">
              <a:solidFill>
                <a:srgbClr val="000000"/>
              </a:solidFill>
              <a:latin typeface="Arial"/>
              <a:ea typeface="Arial"/>
              <a:cs typeface="Arial"/>
            </a:rPr>
            <a:t>    grams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lb           </a:t>
          </a:r>
          <a:r>
            <a:rPr lang="en-US" cap="none" sz="1000" b="0" i="0" u="sng" baseline="0">
              <a:solidFill>
                <a:srgbClr val="FFFFFF"/>
              </a:solidFill>
              <a:latin typeface="Arial"/>
              <a:ea typeface="Arial"/>
              <a:cs typeface="Arial"/>
            </a:rPr>
            <a:t>.</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gallon            liter               gallons           10</a:t>
          </a:r>
          <a:r>
            <a:rPr lang="en-US" cap="none" sz="1000" b="0" i="0" u="none" baseline="30000">
              <a:solidFill>
                <a:srgbClr val="000000"/>
              </a:solidFill>
              <a:latin typeface="Arial"/>
              <a:ea typeface="Arial"/>
              <a:cs typeface="Arial"/>
            </a:rPr>
            <a:t>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μ</a:t>
          </a:r>
          <a:r>
            <a:rPr lang="en-US" cap="none" sz="1000" b="0" i="0" u="none" baseline="0">
              <a:solidFill>
                <a:srgbClr val="000000"/>
              </a:solidFill>
              <a:latin typeface="Arial"/>
              <a:ea typeface="Arial"/>
              <a:cs typeface="Arial"/>
            </a:rPr>
            <a:t>g           453.59 grams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lbs </a:t>
          </a:r>
          <a:r>
            <a:rPr lang="en-US" cap="none" sz="1000" b="0" i="0" u="none" baseline="0">
              <a:solidFill>
                <a:srgbClr val="000000"/>
              </a:solidFill>
              <a:latin typeface="Arial"/>
              <a:ea typeface="Arial"/>
              <a:cs typeface="Arial"/>
            </a:rPr>
            <a:t>  = solids </a:t>
          </a:r>
          <a:r>
            <a:rPr lang="en-US" cap="none" sz="1000" b="0" i="0" u="sng" baseline="0">
              <a:solidFill>
                <a:srgbClr val="000000"/>
              </a:solidFill>
              <a:latin typeface="Arial"/>
              <a:ea typeface="Arial"/>
              <a:cs typeface="Arial"/>
            </a:rPr>
            <a:t> lbs   </a:t>
          </a:r>
          <a:r>
            <a:rPr lang="en-US" cap="none" sz="1000" b="0" i="0" u="none" baseline="0">
              <a:solidFill>
                <a:srgbClr val="000000"/>
              </a:solidFill>
              <a:latin typeface="Arial"/>
              <a:ea typeface="Arial"/>
              <a:cs typeface="Arial"/>
            </a:rPr>
            <a:t>x drift </a:t>
          </a:r>
          <a:r>
            <a:rPr lang="en-US" cap="none" sz="1000" b="0" i="0" u="sng" baseline="0">
              <a:solidFill>
                <a:srgbClr val="000000"/>
              </a:solidFill>
              <a:latin typeface="Arial"/>
              <a:ea typeface="Arial"/>
              <a:cs typeface="Arial"/>
            </a:rPr>
            <a:t>gallons</a:t>
          </a:r>
          <a:r>
            <a:rPr lang="en-US" cap="none" sz="1000" b="0" i="0" u="none" baseline="0">
              <a:solidFill>
                <a:srgbClr val="000000"/>
              </a:solidFill>
              <a:latin typeface="Arial"/>
              <a:ea typeface="Arial"/>
              <a:cs typeface="Arial"/>
            </a:rPr>
            <a:t> x</a:t>
          </a:r>
          <a:r>
            <a:rPr lang="en-US" cap="none" sz="1000" b="0" i="0" u="sng" baseline="0">
              <a:solidFill>
                <a:srgbClr val="000000"/>
              </a:solidFill>
              <a:latin typeface="Arial"/>
              <a:ea typeface="Arial"/>
              <a:cs typeface="Arial"/>
            </a:rPr>
            <a:t> 60 minutes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hour               gallon         minute        hour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Emissions Per Tower in tons/year is calculated as follows: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8760 hours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tons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year    hour           year          2000 lb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xdr:row>
      <xdr:rowOff>47625</xdr:rowOff>
    </xdr:from>
    <xdr:to>
      <xdr:col>1</xdr:col>
      <xdr:colOff>847725</xdr:colOff>
      <xdr:row>16</xdr:row>
      <xdr:rowOff>57150</xdr:rowOff>
    </xdr:to>
    <xdr:sp>
      <xdr:nvSpPr>
        <xdr:cNvPr id="1" name="Text Box 1"/>
        <xdr:cNvSpPr txBox="1">
          <a:spLocks noChangeArrowheads="1"/>
        </xdr:cNvSpPr>
      </xdr:nvSpPr>
      <xdr:spPr>
        <a:xfrm>
          <a:off x="114300" y="2162175"/>
          <a:ext cx="5629275" cy="1143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kg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3.785 liters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1000 g</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gallons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60 minutes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hour     10</a:t>
          </a:r>
          <a:r>
            <a:rPr lang="en-US" cap="none" sz="1000" b="0" i="0" u="none" baseline="30000">
              <a:solidFill>
                <a:srgbClr val="000000"/>
              </a:solidFill>
              <a:latin typeface="Arial"/>
              <a:ea typeface="Arial"/>
              <a:cs typeface="Arial"/>
            </a:rPr>
            <a:t>9</a:t>
          </a:r>
          <a:r>
            <a:rPr lang="en-US" cap="none" sz="1000" b="0" i="0" u="none" baseline="0">
              <a:solidFill>
                <a:srgbClr val="000000"/>
              </a:solidFill>
              <a:latin typeface="Arial"/>
              <a:ea typeface="Arial"/>
              <a:cs typeface="Arial"/>
            </a:rPr>
            <a:t> liters        gallon               kg        453.59 grams     minute            hour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8760 hours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tons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year      hour            year           2000 lb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11</xdr:col>
      <xdr:colOff>781050</xdr:colOff>
      <xdr:row>81</xdr:row>
      <xdr:rowOff>66675</xdr:rowOff>
    </xdr:to>
    <xdr:sp>
      <xdr:nvSpPr>
        <xdr:cNvPr id="1" name="TextBox 1"/>
        <xdr:cNvSpPr txBox="1">
          <a:spLocks noChangeArrowheads="1"/>
        </xdr:cNvSpPr>
      </xdr:nvSpPr>
      <xdr:spPr>
        <a:xfrm>
          <a:off x="0" y="11220450"/>
          <a:ext cx="12830175" cy="520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Annual greenhouse gas (GHG)  Emissions for the Combustion Turbines and Duct Burners are calculated in the same manner as emissions from the criteria pollutants - at an annual average ambient temperature of 59</a:t>
          </a:r>
          <a:r>
            <a:rPr lang="en-US" cap="none" sz="1100" b="0" i="0" u="none" baseline="3000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turbine startup and shutdown, a heat input equivalent to 50% load has been assumed.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mmBtu</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mmBtu</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hours
</a:t>
          </a:r>
          <a:r>
            <a:rPr lang="en-US" cap="none" sz="1100" b="0" i="0" u="none" baseline="0">
              <a:solidFill>
                <a:srgbClr val="000000"/>
              </a:solidFill>
              <a:latin typeface="Calibri"/>
              <a:ea typeface="Calibri"/>
              <a:cs typeface="Calibri"/>
            </a:rPr>
            <a:t>   year          hour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Combustion Emissions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 = Fuel Use </a:t>
          </a:r>
          <a:r>
            <a:rPr lang="en-US" cap="none" sz="1100" b="0" i="0" u="sng" baseline="0">
              <a:solidFill>
                <a:srgbClr val="000000"/>
              </a:solidFill>
              <a:latin typeface="Calibri"/>
              <a:ea typeface="Calibri"/>
              <a:cs typeface="Calibri"/>
            </a:rPr>
            <a:t>mmBtu</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kg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2.205 lb</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                                           year                        year            mmBtu            kg          2000 lb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Turbine and Duct Burner CO Controlled and Uncontrolled Emissions from spreadsheet "Turbine and Duct Burner Annual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 Converted by Oxidation Catalyst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 = Uncontrolled CO Emissions </a:t>
          </a:r>
          <a:r>
            <a:rPr lang="en-US" cap="none" sz="1100" b="0" i="0" u="sng" baseline="0">
              <a:solidFill>
                <a:srgbClr val="000000"/>
              </a:solidFill>
              <a:latin typeface="Calibri"/>
              <a:ea typeface="Calibri"/>
              <a:cs typeface="Calibri"/>
            </a:rPr>
            <a:t> tons</a:t>
          </a:r>
          <a:r>
            <a:rPr lang="en-US" cap="none" sz="1100" b="0" i="0" u="none" baseline="0">
              <a:solidFill>
                <a:srgbClr val="000000"/>
              </a:solidFill>
              <a:latin typeface="Calibri"/>
              <a:ea typeface="Calibri"/>
              <a:cs typeface="Calibri"/>
            </a:rPr>
            <a:t> - Controlled CO Emissions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                                                                   year                                                       year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Oxidation Catalyst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 CO Converted by Oxidation Catalyst </a:t>
          </a:r>
          <a:r>
            <a:rPr lang="en-US" cap="none" sz="1100" b="0" i="0" u="sng" baseline="0">
              <a:solidFill>
                <a:srgbClr val="000000"/>
              </a:solidFill>
              <a:latin typeface="Calibri"/>
              <a:ea typeface="Calibri"/>
              <a:cs typeface="Calibri"/>
            </a:rPr>
            <a:t> tons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44 tons/ton moles of CO</a:t>
          </a:r>
          <a:r>
            <a:rPr lang="en-US" cap="none" sz="1100" b="0" i="0" u="sng" baseline="-25000">
              <a:solidFill>
                <a:srgbClr val="000000"/>
              </a:solidFill>
              <a:latin typeface="Calibri"/>
              <a:ea typeface="Calibri"/>
              <a:cs typeface="Calibri"/>
            </a:rPr>
            <a:t>2</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year                                                                      year     28 tons/ton moles of CO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Circuit Breaker SF</a:t>
          </a:r>
          <a:r>
            <a:rPr lang="en-US" cap="none" sz="1100" b="0" i="0" u="none" baseline="-25000">
              <a:solidFill>
                <a:srgbClr val="000000"/>
              </a:solidFill>
              <a:latin typeface="Calibri"/>
              <a:ea typeface="Calibri"/>
              <a:cs typeface="Calibri"/>
            </a:rPr>
            <a:t>6</a:t>
          </a:r>
          <a:r>
            <a:rPr lang="en-US" cap="none" sz="1100" b="0" i="0" u="none" baseline="0">
              <a:solidFill>
                <a:srgbClr val="000000"/>
              </a:solidFill>
              <a:latin typeface="Calibri"/>
              <a:ea typeface="Calibri"/>
              <a:cs typeface="Calibri"/>
            </a:rPr>
            <a:t> Emissions  </a:t>
          </a:r>
          <a:r>
            <a:rPr lang="en-US" cap="none" sz="1100" b="0" i="0" u="sng" baseline="0">
              <a:solidFill>
                <a:srgbClr val="000000"/>
              </a:solidFill>
              <a:latin typeface="Calibri"/>
              <a:ea typeface="Calibri"/>
              <a:cs typeface="Calibri"/>
            </a:rPr>
            <a:t> tons</a:t>
          </a:r>
          <a:r>
            <a:rPr lang="en-US" cap="none" sz="1100" b="0" i="0" u="none" baseline="0">
              <a:solidFill>
                <a:srgbClr val="000000"/>
              </a:solidFill>
              <a:latin typeface="Calibri"/>
              <a:ea typeface="Calibri"/>
              <a:cs typeface="Calibri"/>
            </a:rPr>
            <a:t> = SF</a:t>
          </a:r>
          <a:r>
            <a:rPr lang="en-US" cap="none" sz="1100" b="0" i="0" u="none" baseline="-25000">
              <a:solidFill>
                <a:srgbClr val="000000"/>
              </a:solidFill>
              <a:latin typeface="Calibri"/>
              <a:ea typeface="Calibri"/>
              <a:cs typeface="Calibri"/>
            </a:rPr>
            <a:t>6</a:t>
          </a:r>
          <a:r>
            <a:rPr lang="en-US" cap="none" sz="1100" b="0" i="0" u="none" baseline="0">
              <a:solidFill>
                <a:srgbClr val="000000"/>
              </a:solidFill>
              <a:latin typeface="Calibri"/>
              <a:ea typeface="Calibri"/>
              <a:cs typeface="Calibri"/>
            </a:rPr>
            <a:t> Content lb  x  </a:t>
          </a:r>
          <a:r>
            <a:rPr lang="en-US" cap="none" sz="1100" b="0" i="0" u="sng" baseline="0">
              <a:solidFill>
                <a:srgbClr val="000000"/>
              </a:solidFill>
              <a:latin typeface="Calibri"/>
              <a:ea typeface="Calibri"/>
              <a:cs typeface="Calibri"/>
            </a:rPr>
            <a:t>% leak rate</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tons     </a:t>
          </a:r>
          <a:r>
            <a:rPr lang="en-US" cap="none" sz="11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                                                       year                                          year           2000 lb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CO2</a:t>
          </a:r>
          <a:r>
            <a:rPr lang="en-US" cap="none" sz="1100" b="0" i="0" u="none" baseline="-2500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 Emissions  </a:t>
          </a:r>
          <a:r>
            <a:rPr lang="en-US" cap="none" sz="1100" b="0" i="0" u="sng" baseline="0">
              <a:solidFill>
                <a:srgbClr val="000000"/>
              </a:solidFill>
              <a:latin typeface="Calibri"/>
              <a:ea typeface="Calibri"/>
              <a:cs typeface="Calibri"/>
            </a:rPr>
            <a:t>tons</a:t>
          </a:r>
          <a:r>
            <a:rPr lang="en-US" cap="none" sz="1100" b="0" i="0" u="none" baseline="0">
              <a:solidFill>
                <a:srgbClr val="000000"/>
              </a:solidFill>
              <a:latin typeface="Calibri"/>
              <a:ea typeface="Calibri"/>
              <a:cs typeface="Calibri"/>
            </a:rPr>
            <a:t> =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x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Global Warming Potential)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Emissions  </a:t>
          </a:r>
          <a:r>
            <a:rPr lang="en-US" cap="none" sz="1100" b="0" i="0" u="sng" baseline="0">
              <a:solidFill>
                <a:srgbClr val="000000"/>
              </a:solidFill>
              <a:latin typeface="Calibri"/>
              <a:ea typeface="Calibri"/>
              <a:cs typeface="Calibri"/>
            </a:rPr>
            <a:t> tons</a:t>
          </a:r>
          <a:r>
            <a:rPr lang="en-US" cap="none" sz="1100" b="0" i="0" u="none" baseline="0">
              <a:solidFill>
                <a:srgbClr val="000000"/>
              </a:solidFill>
              <a:latin typeface="Calibri"/>
              <a:ea typeface="Calibri"/>
              <a:cs typeface="Calibri"/>
            </a:rPr>
            <a:t> x CH</a:t>
          </a:r>
          <a:r>
            <a:rPr lang="en-US" cap="none" sz="1100" b="0" i="0" u="none" baseline="-2500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Global Warming Potential) + (N</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O Emissions </a:t>
          </a:r>
          <a:r>
            <a:rPr lang="en-US" cap="none" sz="1100" b="0" i="0" u="sng" baseline="0">
              <a:solidFill>
                <a:srgbClr val="000000"/>
              </a:solidFill>
              <a:latin typeface="Calibri"/>
              <a:ea typeface="Calibri"/>
              <a:cs typeface="Calibri"/>
            </a:rPr>
            <a:t> tons</a:t>
          </a:r>
          <a:r>
            <a:rPr lang="en-US" cap="none" sz="1100" b="0" i="0" u="none" baseline="0">
              <a:solidFill>
                <a:srgbClr val="000000"/>
              </a:solidFill>
              <a:latin typeface="Calibri"/>
              <a:ea typeface="Calibri"/>
              <a:cs typeface="Calibri"/>
            </a:rPr>
            <a:t> x N</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O Global Warming Potential)
</a:t>
          </a:r>
          <a:r>
            <a:rPr lang="en-US" cap="none" sz="1100" b="0" i="0" u="none" baseline="0">
              <a:solidFill>
                <a:srgbClr val="000000"/>
              </a:solidFill>
              <a:latin typeface="Calibri"/>
              <a:ea typeface="Calibri"/>
              <a:cs typeface="Calibri"/>
            </a:rPr>
            <a:t>                              year                                 year                                                                                              year                                                                                             year
</a:t>
          </a:r>
          <a:r>
            <a:rPr lang="en-US" cap="none" sz="1100" b="0" i="0" u="none" baseline="0">
              <a:solidFill>
                <a:srgbClr val="000000"/>
              </a:solidFill>
              <a:latin typeface="Calibri"/>
              <a:ea typeface="Calibri"/>
              <a:cs typeface="Calibri"/>
            </a:rPr>
            <a:t>                                           + (SF</a:t>
          </a:r>
          <a:r>
            <a:rPr lang="en-US" cap="none" sz="1100" b="0" i="0" u="none" baseline="-25000">
              <a:solidFill>
                <a:srgbClr val="000000"/>
              </a:solidFill>
              <a:latin typeface="Calibri"/>
              <a:ea typeface="Calibri"/>
              <a:cs typeface="Calibri"/>
            </a:rPr>
            <a:t>6</a:t>
          </a:r>
          <a:r>
            <a:rPr lang="en-US" cap="none" sz="1100" b="0" i="0" u="none" baseline="0">
              <a:solidFill>
                <a:srgbClr val="000000"/>
              </a:solidFill>
              <a:latin typeface="Calibri"/>
              <a:ea typeface="Calibri"/>
              <a:cs typeface="Calibri"/>
            </a:rPr>
            <a:t> Emissions  </a:t>
          </a:r>
          <a:r>
            <a:rPr lang="en-US" cap="none" sz="1100" b="0" i="0" u="sng" baseline="0">
              <a:solidFill>
                <a:srgbClr val="000000"/>
              </a:solidFill>
              <a:latin typeface="Calibri"/>
              <a:ea typeface="Calibri"/>
              <a:cs typeface="Calibri"/>
            </a:rPr>
            <a:t> tons</a:t>
          </a:r>
          <a:r>
            <a:rPr lang="en-US" cap="none" sz="1100" b="0" i="0" u="none" baseline="0">
              <a:solidFill>
                <a:srgbClr val="000000"/>
              </a:solidFill>
              <a:latin typeface="Calibri"/>
              <a:ea typeface="Calibri"/>
              <a:cs typeface="Calibri"/>
            </a:rPr>
            <a:t> x SF</a:t>
          </a:r>
          <a:r>
            <a:rPr lang="en-US" cap="none" sz="1100" b="0" i="0" u="none" baseline="-25000">
              <a:solidFill>
                <a:srgbClr val="000000"/>
              </a:solidFill>
              <a:latin typeface="Calibri"/>
              <a:ea typeface="Calibri"/>
              <a:cs typeface="Calibri"/>
            </a:rPr>
            <a:t>6</a:t>
          </a:r>
          <a:r>
            <a:rPr lang="en-US" cap="none" sz="1100" b="0" i="0" u="none" baseline="0">
              <a:solidFill>
                <a:srgbClr val="000000"/>
              </a:solidFill>
              <a:latin typeface="Calibri"/>
              <a:ea typeface="Calibri"/>
              <a:cs typeface="Calibri"/>
            </a:rPr>
            <a:t> Global Warming Potential)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Emissions Total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 Emissions Each Piece of Equipment </a:t>
          </a:r>
          <a:r>
            <a:rPr lang="en-US" cap="none" sz="1100" b="0" i="0" u="sng" baseline="0">
              <a:solidFill>
                <a:srgbClr val="000000"/>
              </a:solidFill>
              <a:latin typeface="Calibri"/>
              <a:ea typeface="Calibri"/>
              <a:cs typeface="Calibri"/>
            </a:rPr>
            <a:t>tons</a:t>
          </a:r>
          <a:r>
            <a:rPr lang="en-US" cap="none" sz="1100" b="0" i="0" u="none" baseline="0">
              <a:solidFill>
                <a:srgbClr val="000000"/>
              </a:solidFill>
              <a:latin typeface="Calibri"/>
              <a:ea typeface="Calibri"/>
              <a:cs typeface="Calibri"/>
            </a:rPr>
            <a:t> x # of Pieces of Equipment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year                                                                     year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99</xdr:row>
      <xdr:rowOff>95250</xdr:rowOff>
    </xdr:from>
    <xdr:to>
      <xdr:col>11</xdr:col>
      <xdr:colOff>781050</xdr:colOff>
      <xdr:row>132</xdr:row>
      <xdr:rowOff>142875</xdr:rowOff>
    </xdr:to>
    <xdr:sp>
      <xdr:nvSpPr>
        <xdr:cNvPr id="1" name="TextBox 1"/>
        <xdr:cNvSpPr txBox="1">
          <a:spLocks noChangeArrowheads="1"/>
        </xdr:cNvSpPr>
      </xdr:nvSpPr>
      <xdr:spPr>
        <a:xfrm>
          <a:off x="76200" y="53787675"/>
          <a:ext cx="12449175" cy="539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Maximum Turbine Short-term Emission Rates:
</a:t>
          </a:r>
          <a:r>
            <a:rPr lang="en-US" cap="none" sz="1000" b="0" i="0" u="none" baseline="0">
              <a:solidFill>
                <a:srgbClr val="000000"/>
              </a:solidFill>
              <a:latin typeface="Calibri"/>
              <a:ea typeface="Calibri"/>
              <a:cs typeface="Calibri"/>
            </a:rPr>
            <a:t>NO</a:t>
          </a:r>
          <a:r>
            <a:rPr lang="en-US" cap="none" sz="1000" b="0" i="0" u="none" baseline="-25000">
              <a:solidFill>
                <a:srgbClr val="000000"/>
              </a:solidFill>
              <a:latin typeface="Calibri"/>
              <a:ea typeface="Calibri"/>
              <a:cs typeface="Calibri"/>
            </a:rPr>
            <a:t>x</a:t>
          </a:r>
          <a:r>
            <a:rPr lang="en-US" cap="none" sz="1000" b="0" i="0" u="none" baseline="0">
              <a:solidFill>
                <a:srgbClr val="000000"/>
              </a:solidFill>
              <a:latin typeface="Calibri"/>
              <a:ea typeface="Calibri"/>
              <a:cs typeface="Calibri"/>
            </a:rPr>
            <a:t> - Maximum emission rate occurs during hot starts.  Hot start emission rates are much higher than normal operation emission rates.
</a:t>
          </a:r>
          <a:r>
            <a:rPr lang="en-US" cap="none" sz="1000" b="0" i="0" u="none" baseline="0">
              <a:solidFill>
                <a:srgbClr val="000000"/>
              </a:solidFill>
              <a:latin typeface="Calibri"/>
              <a:ea typeface="Calibri"/>
              <a:cs typeface="Calibri"/>
            </a:rPr>
            <a:t>CO - Maximum emission rate occurs during hot starts
</a:t>
          </a:r>
          <a:r>
            <a:rPr lang="en-US" cap="none" sz="1000" b="0" i="0" u="none" baseline="0">
              <a:solidFill>
                <a:srgbClr val="000000"/>
              </a:solidFill>
              <a:latin typeface="Calibri"/>
              <a:ea typeface="Calibri"/>
              <a:cs typeface="Calibri"/>
            </a:rPr>
            <a:t>PM</a:t>
          </a:r>
          <a:r>
            <a:rPr lang="en-US" cap="none" sz="1000" b="0" i="0" u="none" baseline="-25000">
              <a:solidFill>
                <a:srgbClr val="000000"/>
              </a:solidFill>
              <a:latin typeface="Calibri"/>
              <a:ea typeface="Calibri"/>
              <a:cs typeface="Calibri"/>
            </a:rPr>
            <a:t>10</a:t>
          </a:r>
          <a:r>
            <a:rPr lang="en-US" cap="none" sz="1000" b="0" i="0" u="none" baseline="0">
              <a:solidFill>
                <a:srgbClr val="000000"/>
              </a:solidFill>
              <a:latin typeface="Calibri"/>
              <a:ea typeface="Calibri"/>
              <a:cs typeface="Calibri"/>
            </a:rPr>
            <a:t>/PM</a:t>
          </a:r>
          <a:r>
            <a:rPr lang="en-US" cap="none" sz="1000" b="0" i="0" u="none" baseline="-25000">
              <a:solidFill>
                <a:srgbClr val="000000"/>
              </a:solidFill>
              <a:latin typeface="Calibri"/>
              <a:ea typeface="Calibri"/>
              <a:cs typeface="Calibri"/>
            </a:rPr>
            <a:t>2.5</a:t>
          </a:r>
          <a:r>
            <a:rPr lang="en-US" cap="none" sz="1000" b="0" i="0" u="none" baseline="0">
              <a:solidFill>
                <a:srgbClr val="000000"/>
              </a:solidFill>
              <a:latin typeface="Calibri"/>
              <a:ea typeface="Calibri"/>
              <a:cs typeface="Calibri"/>
            </a:rPr>
            <a:t> - Maximum emission rate occurs at 100% turbine load plus duct firing,.  Startup emission are assumed to equal normal operation emissions without duct firing, maximum emission rate occurs at 100% turbine load.
</a:t>
          </a:r>
          <a:r>
            <a:rPr lang="en-US" cap="none" sz="1000" b="0" i="0" u="none" baseline="0">
              <a:solidFill>
                <a:srgbClr val="000000"/>
              </a:solidFill>
              <a:latin typeface="Calibri"/>
              <a:ea typeface="Calibri"/>
              <a:cs typeface="Calibri"/>
            </a:rPr>
            <a:t>SO</a:t>
          </a:r>
          <a:r>
            <a:rPr lang="en-US" cap="none" sz="1000" b="0" i="0" u="none" baseline="-25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 </a:t>
          </a:r>
          <a:r>
            <a:rPr lang="en-US" cap="none" sz="1000" b="0" i="0" u="none" baseline="0">
              <a:solidFill>
                <a:srgbClr val="000000"/>
              </a:solidFill>
              <a:latin typeface="Calibri"/>
              <a:ea typeface="Calibri"/>
              <a:cs typeface="Calibri"/>
            </a:rPr>
            <a:t>Maximum emission rate occurs at 100% turbine load plus duct firing,.  Startup emission are assumed to equal normal operation emissions without duct firing, maximum emission rate occurs at 100% turbine load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Worst-Case Turbine Stack Parameters from Screening Modeling occur at:
</a:t>
          </a:r>
          <a:r>
            <a:rPr lang="en-US" cap="none" sz="1000" b="0" i="0" u="none" baseline="0">
              <a:solidFill>
                <a:srgbClr val="000000"/>
              </a:solidFill>
              <a:latin typeface="Calibri"/>
              <a:ea typeface="Calibri"/>
              <a:cs typeface="Calibri"/>
            </a:rPr>
            <a:t>59</a:t>
          </a:r>
          <a:r>
            <a:rPr lang="en-US" cap="none" sz="1000" b="0" i="0" u="none" baseline="30000">
              <a:solidFill>
                <a:srgbClr val="000000"/>
              </a:solidFill>
              <a:latin typeface="Calibri"/>
              <a:ea typeface="Calibri"/>
              <a:cs typeface="Calibri"/>
            </a:rPr>
            <a:t>o</a:t>
          </a:r>
          <a:r>
            <a:rPr lang="en-US" cap="none" sz="1000" b="0" i="0" u="none" baseline="0">
              <a:solidFill>
                <a:srgbClr val="000000"/>
              </a:solidFill>
              <a:latin typeface="Calibri"/>
              <a:ea typeface="Calibri"/>
              <a:cs typeface="Calibri"/>
            </a:rPr>
            <a:t>F ambient temperature, minimum compliance load case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Short-term Emission Rates for turbines are from spreadsheets titled "Turbine and Duct Burner Hourly Emissions" and "Turbine Startup Emissions"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Short-term Emission rates for non-turbine emission units are from "One Hour Emission Criteria Pollutant Emission Summary"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24-hour Average Emission Rate for auxiliary boiler and fire pump SO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and PM</a:t>
          </a:r>
          <a:r>
            <a:rPr lang="en-US" cap="none" sz="1100" b="0" i="0" u="none" baseline="-25000">
              <a:solidFill>
                <a:srgbClr val="000000"/>
              </a:solidFill>
              <a:latin typeface="Calibri"/>
              <a:ea typeface="Calibri"/>
              <a:cs typeface="Calibri"/>
            </a:rPr>
            <a:t>10</a:t>
          </a:r>
          <a:r>
            <a:rPr lang="en-US" cap="none" sz="1100" b="0" i="0" u="none" baseline="0">
              <a:solidFill>
                <a:srgbClr val="000000"/>
              </a:solidFill>
              <a:latin typeface="Calibri"/>
              <a:ea typeface="Calibri"/>
              <a:cs typeface="Calibri"/>
            </a:rPr>
            <a:t>/PM</a:t>
          </a:r>
          <a:r>
            <a:rPr lang="en-US" cap="none" sz="1100" b="0" i="0" u="none" baseline="-25000">
              <a:solidFill>
                <a:srgbClr val="000000"/>
              </a:solidFill>
              <a:latin typeface="Calibri"/>
              <a:ea typeface="Calibri"/>
              <a:cs typeface="Calibri"/>
            </a:rPr>
            <a:t>2.5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hours of operation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hour     hour                24 hours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24-hour Emission Rates for visibility impacts are from "24-Hour Modeling Scenario Emissions"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Annual Average Emission Rates are from "Annual  Project Criteria Pollutant Emissions"
</a:t>
          </a:r>
          <a:r>
            <a:rPr lang="en-US" cap="none" sz="1000" b="0" i="0" u="none" baseline="0">
              <a:solidFill>
                <a:srgbClr val="000000"/>
              </a:solidFill>
              <a:latin typeface="Calibri"/>
              <a:ea typeface="Calibri"/>
              <a:cs typeface="Calibri"/>
            </a:rPr>
            <a:t>Annual Averages Emissions  </a:t>
          </a:r>
          <a:r>
            <a:rPr lang="en-US" cap="none" sz="1000" b="0" i="0" u="sng" baseline="0">
              <a:solidFill>
                <a:srgbClr val="000000"/>
              </a:solidFill>
              <a:latin typeface="Calibri"/>
              <a:ea typeface="Calibri"/>
              <a:cs typeface="Calibri"/>
            </a:rPr>
            <a:t>   lb    </a:t>
          </a:r>
          <a:r>
            <a:rPr lang="en-US" cap="none" sz="1000" b="0" i="0" u="none" baseline="0">
              <a:solidFill>
                <a:srgbClr val="000000"/>
              </a:solidFill>
              <a:latin typeface="Calibri"/>
              <a:ea typeface="Calibri"/>
              <a:cs typeface="Calibri"/>
            </a:rPr>
            <a:t> =  </a:t>
          </a:r>
          <a:r>
            <a:rPr lang="en-US" cap="none" sz="1000" b="0" i="0" u="sng" baseline="0">
              <a:solidFill>
                <a:srgbClr val="000000"/>
              </a:solidFill>
              <a:latin typeface="Calibri"/>
              <a:ea typeface="Calibri"/>
              <a:cs typeface="Calibri"/>
            </a:rPr>
            <a:t>tons</a:t>
          </a:r>
          <a:r>
            <a:rPr lang="en-US" cap="none" sz="1000" b="0" i="0" u="none" baseline="0">
              <a:solidFill>
                <a:srgbClr val="000000"/>
              </a:solidFill>
              <a:latin typeface="Calibri"/>
              <a:ea typeface="Calibri"/>
              <a:cs typeface="Calibri"/>
            </a:rPr>
            <a:t>  x  </a:t>
          </a:r>
          <a:r>
            <a:rPr lang="en-US" cap="none" sz="1000" b="0" i="0" u="sng" baseline="0">
              <a:solidFill>
                <a:srgbClr val="000000"/>
              </a:solidFill>
              <a:latin typeface="Calibri"/>
              <a:ea typeface="Calibri"/>
              <a:cs typeface="Calibri"/>
            </a:rPr>
            <a:t>        year      </a:t>
          </a:r>
          <a:r>
            <a:rPr lang="en-US" cap="none" sz="1000" b="0" i="0" u="none" baseline="0">
              <a:solidFill>
                <a:srgbClr val="000000"/>
              </a:solidFill>
              <a:latin typeface="Calibri"/>
              <a:ea typeface="Calibri"/>
              <a:cs typeface="Calibri"/>
            </a:rPr>
            <a:t>  x </a:t>
          </a:r>
          <a:r>
            <a:rPr lang="en-US" cap="none" sz="1000" b="0" i="0" u="sng" baseline="0">
              <a:solidFill>
                <a:srgbClr val="000000"/>
              </a:solidFill>
              <a:latin typeface="Calibri"/>
              <a:ea typeface="Calibri"/>
              <a:cs typeface="Calibri"/>
            </a:rPr>
            <a:t>2000 lb
</a:t>
          </a:r>
          <a:r>
            <a:rPr lang="en-US" cap="none" sz="1000" b="0" i="0" u="none" baseline="0">
              <a:solidFill>
                <a:srgbClr val="000000"/>
              </a:solidFill>
              <a:latin typeface="Calibri"/>
              <a:ea typeface="Calibri"/>
              <a:cs typeface="Calibri"/>
            </a:rPr>
            <a:t>                                                   hour       year      8760 hours          ton
</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Cooling Tower Emissions are divided by 9 to apportion the emissions among the 9 cooling tower cells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grams </a:t>
          </a:r>
          <a:r>
            <a:rPr lang="en-US" cap="none" sz="1000" b="0" i="0" u="none" baseline="0">
              <a:solidFill>
                <a:srgbClr val="000000"/>
              </a:solidFill>
              <a:latin typeface="Calibri"/>
              <a:ea typeface="Calibri"/>
              <a:cs typeface="Calibri"/>
            </a:rPr>
            <a:t>  =    </a:t>
          </a:r>
          <a:r>
            <a:rPr lang="en-US" cap="none" sz="1000" b="0" i="0" u="sng" baseline="0">
              <a:solidFill>
                <a:srgbClr val="000000"/>
              </a:solidFill>
              <a:latin typeface="Calibri"/>
              <a:ea typeface="Calibri"/>
              <a:cs typeface="Calibri"/>
            </a:rPr>
            <a:t> lb     </a:t>
          </a:r>
          <a:r>
            <a:rPr lang="en-US" cap="none" sz="1000" b="0" i="0" u="none" baseline="0">
              <a:solidFill>
                <a:srgbClr val="000000"/>
              </a:solidFill>
              <a:latin typeface="Calibri"/>
              <a:ea typeface="Calibri"/>
              <a:cs typeface="Calibri"/>
            </a:rPr>
            <a:t>  x </a:t>
          </a:r>
          <a:r>
            <a:rPr lang="en-US" cap="none" sz="1000" b="0" i="0" u="sng" baseline="0">
              <a:solidFill>
                <a:srgbClr val="000000"/>
              </a:solidFill>
              <a:latin typeface="Calibri"/>
              <a:ea typeface="Calibri"/>
              <a:cs typeface="Calibri"/>
            </a:rPr>
            <a:t> 453.59 grams</a:t>
          </a:r>
          <a:r>
            <a:rPr lang="en-US" cap="none" sz="1000" b="0" i="0" u="none" baseline="0">
              <a:solidFill>
                <a:srgbClr val="000000"/>
              </a:solidFill>
              <a:latin typeface="Calibri"/>
              <a:ea typeface="Calibri"/>
              <a:cs typeface="Calibri"/>
            </a:rPr>
            <a:t>  x   </a:t>
          </a:r>
          <a:r>
            <a:rPr lang="en-US" cap="none" sz="1000" b="0" i="0" u="sng" baseline="0">
              <a:solidFill>
                <a:srgbClr val="000000"/>
              </a:solidFill>
              <a:latin typeface="Calibri"/>
              <a:ea typeface="Calibri"/>
              <a:cs typeface="Calibri"/>
            </a:rPr>
            <a:t>       hour       </a:t>
          </a:r>
          <a:r>
            <a:rPr lang="en-US" cap="none" sz="1000" b="0" i="0" u="none" baseline="0">
              <a:solidFill>
                <a:srgbClr val="000000"/>
              </a:solidFill>
              <a:latin typeface="Calibri"/>
              <a:ea typeface="Calibri"/>
              <a:cs typeface="Calibri"/>
            </a:rPr>
            <a:t>   </a:t>
          </a:r>
          <a:r>
            <a:rPr lang="en-US" cap="none" sz="1000" b="0" i="0" u="none" baseline="0">
              <a:solidFill>
                <a:srgbClr val="FFFFFF"/>
              </a:solidFill>
              <a:latin typeface="Calibri"/>
              <a:ea typeface="Calibri"/>
              <a:cs typeface="Calibri"/>
            </a:rPr>
            <a:t>.
</a:t>
          </a:r>
          <a:r>
            <a:rPr lang="en-US" cap="none" sz="1000" b="0" i="0" u="none" baseline="0">
              <a:solidFill>
                <a:srgbClr val="000000"/>
              </a:solidFill>
              <a:latin typeface="Calibri"/>
              <a:ea typeface="Calibri"/>
              <a:cs typeface="Calibri"/>
            </a:rPr>
            <a:t>second        hour               lb                 3600 seconds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Short-term stack parameters are from the spreadsheet titled "Turbine Stack Parameters"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Annual stack parameters are from the spreadsheet titled "Turbine and Duct Burner Annual Weighted Average Stack Parameters"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12</xdr:row>
      <xdr:rowOff>142875</xdr:rowOff>
    </xdr:from>
    <xdr:to>
      <xdr:col>8</xdr:col>
      <xdr:colOff>9525</xdr:colOff>
      <xdr:row>33</xdr:row>
      <xdr:rowOff>28575</xdr:rowOff>
    </xdr:to>
    <xdr:sp>
      <xdr:nvSpPr>
        <xdr:cNvPr id="1" name="Text Box 1"/>
        <xdr:cNvSpPr txBox="1">
          <a:spLocks noChangeArrowheads="1"/>
        </xdr:cNvSpPr>
      </xdr:nvSpPr>
      <xdr:spPr>
        <a:xfrm>
          <a:off x="142875" y="2457450"/>
          <a:ext cx="7734300" cy="3286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TONS PER YEAR FOR EACH PIECE OF EQUIPMENT AT MAXIMUM OPERATION
</a:t>
          </a:r>
          <a:r>
            <a:rPr lang="en-US" cap="none" sz="1000" b="1" i="0" u="none" baseline="0">
              <a:solidFill>
                <a:srgbClr val="000000"/>
              </a:solidFill>
              <a:latin typeface="Arial"/>
              <a:ea typeface="Arial"/>
              <a:cs typeface="Arial"/>
            </a:rPr>
            <a:t>For turbines and duct burners
</a:t>
          </a:r>
          <a:r>
            <a:rPr lang="en-US" cap="none" sz="1000" b="0" i="0" u="none" baseline="0">
              <a:solidFill>
                <a:srgbClr val="000000"/>
              </a:solidFill>
              <a:latin typeface="Arial"/>
              <a:ea typeface="Arial"/>
              <a:cs typeface="Arial"/>
            </a:rPr>
            <a:t>Ton/year are from the spreadsheet titled "Combined Turbine and Duct Burner Annual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auxiliary boiler:
</a:t>
          </a:r>
          <a:r>
            <a:rPr lang="en-US" cap="none" sz="1000" b="0" i="0" u="none" baseline="0">
              <a:solidFill>
                <a:srgbClr val="000000"/>
              </a:solidFill>
              <a:latin typeface="Arial"/>
              <a:ea typeface="Arial"/>
              <a:cs typeface="Arial"/>
            </a:rPr>
            <a:t>Ton/year values are from the spreadsheet titled "Aux Boiler Data and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emergency fire pump:
</a:t>
          </a:r>
          <a:r>
            <a:rPr lang="en-US" cap="none" sz="1000" b="0" i="0" u="none" baseline="0">
              <a:solidFill>
                <a:srgbClr val="000000"/>
              </a:solidFill>
              <a:latin typeface="Arial"/>
              <a:ea typeface="Arial"/>
              <a:cs typeface="Arial"/>
            </a:rPr>
            <a:t>Ton/year values are from the spreadsheet titled "Emergency Fire Pump Data and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cooling tower: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Tons/year value comes from the spreadsheets titled "Cooling Tower PM/PM</a:t>
          </a:r>
          <a:r>
            <a:rPr lang="en-US" cap="none" sz="1000" b="0" i="0" u="none"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/PM</a:t>
          </a:r>
          <a:r>
            <a:rPr lang="en-US" cap="none" sz="1000" b="0" i="0" u="none" baseline="-25000">
              <a:solidFill>
                <a:srgbClr val="000000"/>
              </a:solidFill>
              <a:latin typeface="Arial"/>
              <a:ea typeface="Arial"/>
              <a:cs typeface="Arial"/>
            </a:rPr>
            <a:t>2.5</a:t>
          </a:r>
          <a:r>
            <a:rPr lang="en-US" cap="none" sz="1000" b="0" i="0" u="none" baseline="0">
              <a:solidFill>
                <a:srgbClr val="000000"/>
              </a:solidFill>
              <a:latin typeface="Arial"/>
              <a:ea typeface="Arial"/>
              <a:cs typeface="Arial"/>
            </a:rPr>
            <a:t> Emissions" and Cooling Tower HAP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evaporation ponds: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Tons/year value comes from the spreadsheet titled "Evaporation Pond Chloroform Emissions".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a:t>
          </a:r>
          <a:r>
            <a:rPr lang="en-US" cap="none" sz="1100" b="1" i="0" u="none" baseline="-25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CH</a:t>
          </a:r>
          <a:r>
            <a:rPr lang="en-US" cap="none" sz="1100" b="1" i="0" u="none" baseline="-25000">
              <a:solidFill>
                <a:srgbClr val="000000"/>
              </a:solidFill>
              <a:latin typeface="Calibri"/>
              <a:ea typeface="Calibri"/>
              <a:cs typeface="Calibri"/>
            </a:rPr>
            <a:t>4</a:t>
          </a:r>
          <a:r>
            <a:rPr lang="en-US" cap="none" sz="1100" b="1" i="0" u="none" baseline="0">
              <a:solidFill>
                <a:srgbClr val="000000"/>
              </a:solidFill>
              <a:latin typeface="Calibri"/>
              <a:ea typeface="Calibri"/>
              <a:cs typeface="Calibri"/>
            </a:rPr>
            <a:t>, N</a:t>
          </a:r>
          <a:r>
            <a:rPr lang="en-US" cap="none" sz="1100" b="1" i="0" u="none" baseline="-25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O, SF</a:t>
          </a:r>
          <a:r>
            <a:rPr lang="en-US" cap="none" sz="1100" b="1" i="0" u="none" baseline="-25000">
              <a:solidFill>
                <a:srgbClr val="000000"/>
              </a:solidFill>
              <a:latin typeface="Calibri"/>
              <a:ea typeface="Calibri"/>
              <a:cs typeface="Calibri"/>
            </a:rPr>
            <a:t>6</a:t>
          </a:r>
          <a:r>
            <a:rPr lang="en-US" cap="none" sz="1100" b="1" i="0" u="none" baseline="0">
              <a:solidFill>
                <a:srgbClr val="000000"/>
              </a:solidFill>
              <a:latin typeface="Calibri"/>
              <a:ea typeface="Calibri"/>
              <a:cs typeface="Calibri"/>
            </a:rPr>
            <a:t>, and CO</a:t>
          </a:r>
          <a:r>
            <a:rPr lang="en-US" cap="none" sz="1100" b="1" i="0" u="none" baseline="-25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Tons/year values are from the spreadsheet titled "Annual Greenhouse Gas Emissions"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turbines, duct burners, auxiliary boiler, and emergency fire pump assume PM</a:t>
          </a:r>
          <a:r>
            <a:rPr lang="en-US" cap="none" sz="1000" b="0" i="0" u="none"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 = PM</a:t>
          </a:r>
          <a:r>
            <a:rPr lang="en-US" cap="none" sz="1000" b="0" i="0" u="none" baseline="-25000">
              <a:solidFill>
                <a:srgbClr val="000000"/>
              </a:solidFill>
              <a:latin typeface="Arial"/>
              <a:ea typeface="Arial"/>
              <a:cs typeface="Arial"/>
            </a:rPr>
            <a:t>2.5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93</xdr:row>
      <xdr:rowOff>0</xdr:rowOff>
    </xdr:from>
    <xdr:to>
      <xdr:col>7</xdr:col>
      <xdr:colOff>514350</xdr:colOff>
      <xdr:row>93</xdr:row>
      <xdr:rowOff>0</xdr:rowOff>
    </xdr:to>
    <xdr:sp>
      <xdr:nvSpPr>
        <xdr:cNvPr id="2" name="Text Box 2"/>
        <xdr:cNvSpPr txBox="1">
          <a:spLocks noChangeArrowheads="1"/>
        </xdr:cNvSpPr>
      </xdr:nvSpPr>
      <xdr:spPr>
        <a:xfrm>
          <a:off x="0" y="15430500"/>
          <a:ext cx="77343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DOUBLE CHECK ON TOTAL PROJECT ANNUAL EMISSIONS FOR ABOVE CAPACITY FACTORS AND EQUIPMENT NUMBERS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double check is calculated as follows: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tons </a:t>
          </a:r>
          <a:r>
            <a:rPr lang="en-US" cap="none" sz="1000" b="0" i="0" u="none" baseline="0">
              <a:solidFill>
                <a:srgbClr val="000000"/>
              </a:solidFill>
              <a:latin typeface="Arial"/>
              <a:ea typeface="Arial"/>
              <a:cs typeface="Arial"/>
            </a:rPr>
            <a:t> individual pieces of equipment   x   number of pieces of equipment
</a:t>
          </a:r>
          <a:r>
            <a:rPr lang="en-US" cap="none" sz="1000" b="0" i="0" u="none" baseline="0">
              <a:solidFill>
                <a:srgbClr val="000000"/>
              </a:solidFill>
              <a:latin typeface="Arial"/>
              <a:ea typeface="Arial"/>
              <a:cs typeface="Arial"/>
            </a:rPr>
            <a:t>year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tons/year for individual pieces of equipment values come from the table on the sheet labeled "Annual Emissions in Tons per Year for Each Piece of Equipment for Above Capacity.</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0</xdr:rowOff>
    </xdr:from>
    <xdr:to>
      <xdr:col>5</xdr:col>
      <xdr:colOff>104775</xdr:colOff>
      <xdr:row>23</xdr:row>
      <xdr:rowOff>104775</xdr:rowOff>
    </xdr:to>
    <xdr:sp>
      <xdr:nvSpPr>
        <xdr:cNvPr id="1" name="TextBox 1"/>
        <xdr:cNvSpPr txBox="1">
          <a:spLocks noChangeArrowheads="1"/>
        </xdr:cNvSpPr>
      </xdr:nvSpPr>
      <xdr:spPr>
        <a:xfrm>
          <a:off x="38100" y="4105275"/>
          <a:ext cx="58197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Stack Parameters are from spreadsheet titled "Turbine+Duct Burner Info"</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5</xdr:col>
      <xdr:colOff>514350</xdr:colOff>
      <xdr:row>51</xdr:row>
      <xdr:rowOff>95250</xdr:rowOff>
    </xdr:to>
    <xdr:sp>
      <xdr:nvSpPr>
        <xdr:cNvPr id="1" name="Text Box 1"/>
        <xdr:cNvSpPr txBox="1">
          <a:spLocks noChangeArrowheads="1"/>
        </xdr:cNvSpPr>
      </xdr:nvSpPr>
      <xdr:spPr>
        <a:xfrm>
          <a:off x="0" y="7362825"/>
          <a:ext cx="6991350" cy="1381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meters = feet x  </a:t>
          </a:r>
          <a:r>
            <a:rPr lang="en-US" cap="none" sz="1000" b="0" i="0" u="sng" baseline="0">
              <a:solidFill>
                <a:srgbClr val="000000"/>
              </a:solidFill>
              <a:latin typeface="Arial"/>
              <a:ea typeface="Arial"/>
              <a:cs typeface="Arial"/>
            </a:rPr>
            <a:t>   meters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3.281 feet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 =[ </a:t>
          </a:r>
          <a:r>
            <a:rPr lang="en-US" cap="none" sz="1000" b="0" i="0" u="sng"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x (</a:t>
          </a:r>
          <a:r>
            <a:rPr lang="en-US" cap="none" sz="1000" b="0"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F  - 32)] + 273.15
</a:t>
          </a:r>
          <a:r>
            <a:rPr lang="en-US" cap="none" sz="1000" b="0" i="0" u="none" baseline="0">
              <a:solidFill>
                <a:srgbClr val="000000"/>
              </a:solidFill>
              <a:latin typeface="Arial"/>
              <a:ea typeface="Arial"/>
              <a:cs typeface="Arial"/>
            </a:rPr>
            <a:t>       9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meters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feet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meters   </a:t>
          </a:r>
          <a:r>
            <a:rPr lang="en-US" cap="none" sz="1000" b="0" i="0" u="sng"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second     second   3.281 feet</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152400</xdr:rowOff>
    </xdr:from>
    <xdr:to>
      <xdr:col>5</xdr:col>
      <xdr:colOff>180975</xdr:colOff>
      <xdr:row>40</xdr:row>
      <xdr:rowOff>57150</xdr:rowOff>
    </xdr:to>
    <xdr:sp>
      <xdr:nvSpPr>
        <xdr:cNvPr id="1" name="TextBox 1"/>
        <xdr:cNvSpPr txBox="1">
          <a:spLocks noChangeArrowheads="1"/>
        </xdr:cNvSpPr>
      </xdr:nvSpPr>
      <xdr:spPr>
        <a:xfrm>
          <a:off x="19050" y="5010150"/>
          <a:ext cx="6572250" cy="3305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Stack data is from "Turbine Stack Parameters" spreadsheet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Hours per year are from "Turbine and Duct Burner Annual" spreadsheet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Startup and shutdown durations are from "Turbine Startup Emissions" spreadsheet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Weighted Average Temperature = </a:t>
          </a:r>
          <a:r>
            <a:rPr lang="en-US" cap="none" sz="1000" b="0" i="0" u="sng" baseline="0">
              <a:solidFill>
                <a:srgbClr val="000000"/>
              </a:solidFill>
              <a:latin typeface="Arial"/>
              <a:ea typeface="Arial"/>
              <a:cs typeface="Arial"/>
            </a:rPr>
            <a:t>Σ(</a:t>
          </a:r>
          <a:r>
            <a:rPr lang="en-US" cap="none" sz="1000" b="0" i="0" u="sng" baseline="0">
              <a:solidFill>
                <a:srgbClr val="000000"/>
              </a:solidFill>
              <a:latin typeface="Arial"/>
              <a:ea typeface="Arial"/>
              <a:cs typeface="Arial"/>
            </a:rPr>
            <a:t>Configuration Temperature x Configuration Hours)
</a:t>
          </a:r>
          <a:r>
            <a:rPr lang="en-US" cap="none" sz="1000" b="0" i="0" u="none" baseline="0">
              <a:solidFill>
                <a:srgbClr val="000000"/>
              </a:solidFill>
              <a:latin typeface="Arial"/>
              <a:ea typeface="Arial"/>
              <a:cs typeface="Arial"/>
            </a:rPr>
            <a:t>                                                                                        Total  Hours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Weighted Average Exit Velocity  = </a:t>
          </a:r>
          <a:r>
            <a:rPr lang="en-US" cap="none" sz="1100" b="0" i="0" u="sng" baseline="0">
              <a:solidFill>
                <a:srgbClr val="000000"/>
              </a:solidFill>
              <a:latin typeface="Calibri"/>
              <a:ea typeface="Calibri"/>
              <a:cs typeface="Calibri"/>
            </a:rPr>
            <a:t>Σ(</a:t>
          </a:r>
          <a:r>
            <a:rPr lang="en-US" cap="none" sz="1100" b="0" i="0" u="sng" baseline="0">
              <a:solidFill>
                <a:srgbClr val="000000"/>
              </a:solidFill>
              <a:latin typeface="Calibri"/>
              <a:ea typeface="Calibri"/>
              <a:cs typeface="Calibri"/>
            </a:rPr>
            <a:t>Configuration Exit Velocity x Configuration Hours)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Total Hours
</a:t>
          </a:r>
          <a:r>
            <a:rPr lang="en-US" cap="none" sz="1000" b="0"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F = ((K - 273.15) x </a:t>
          </a:r>
          <a:r>
            <a:rPr lang="en-US" cap="none" sz="1000" b="0" i="0" u="sng" baseline="0">
              <a:solidFill>
                <a:srgbClr val="000000"/>
              </a:solidFill>
              <a:latin typeface="Arial"/>
              <a:ea typeface="Arial"/>
              <a:cs typeface="Arial"/>
            </a:rPr>
            <a:t>9</a:t>
          </a:r>
          <a:r>
            <a:rPr lang="en-US" cap="none" sz="1000" b="0" i="0" u="none" baseline="0">
              <a:solidFill>
                <a:srgbClr val="000000"/>
              </a:solidFill>
              <a:latin typeface="Arial"/>
              <a:ea typeface="Arial"/>
              <a:cs typeface="Arial"/>
            </a:rPr>
            <a:t>) + 32
</a:t>
          </a:r>
          <a:r>
            <a:rPr lang="en-US" cap="none" sz="1000" b="0" i="0" u="none" baseline="0">
              <a:solidFill>
                <a:srgbClr val="000000"/>
              </a:solidFill>
              <a:latin typeface="Arial"/>
              <a:ea typeface="Arial"/>
              <a:cs typeface="Arial"/>
            </a:rPr>
            <a:t>                                5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feet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meters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3.281 feet
</a:t>
          </a:r>
          <a:r>
            <a:rPr lang="en-US" cap="none" sz="1000" b="0" i="0" u="none" baseline="0">
              <a:solidFill>
                <a:srgbClr val="000000"/>
              </a:solidFill>
              <a:latin typeface="Arial"/>
              <a:ea typeface="Arial"/>
              <a:cs typeface="Arial"/>
            </a:rPr>
            <a:t>second      second      meters
</a:t>
          </a:r>
          <a:r>
            <a:rPr lang="en-US" cap="none" sz="1000" b="0" i="0" u="none" baseline="0">
              <a:solidFill>
                <a:srgbClr val="000000"/>
              </a:solidFill>
              <a:latin typeface="Arial"/>
              <a:ea typeface="Arial"/>
              <a:cs typeface="Arial"/>
            </a:rPr>
            <a:t>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47625</xdr:rowOff>
    </xdr:from>
    <xdr:to>
      <xdr:col>5</xdr:col>
      <xdr:colOff>352425</xdr:colOff>
      <xdr:row>9</xdr:row>
      <xdr:rowOff>95250</xdr:rowOff>
    </xdr:to>
    <xdr:sp>
      <xdr:nvSpPr>
        <xdr:cNvPr id="1" name="Text Box 1"/>
        <xdr:cNvSpPr txBox="1">
          <a:spLocks noChangeArrowheads="1"/>
        </xdr:cNvSpPr>
      </xdr:nvSpPr>
      <xdr:spPr>
        <a:xfrm>
          <a:off x="38100" y="923925"/>
          <a:ext cx="7829550"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24-Hour NO</a:t>
          </a:r>
          <a:r>
            <a:rPr lang="en-US" cap="none" sz="1000" b="0" i="0" u="none" baseline="-25000">
              <a:solidFill>
                <a:srgbClr val="000000"/>
              </a:solidFill>
              <a:latin typeface="Arial"/>
              <a:ea typeface="Arial"/>
              <a:cs typeface="Arial"/>
            </a:rPr>
            <a:t>x</a:t>
          </a:r>
          <a:r>
            <a:rPr lang="en-US" cap="none" sz="1000" b="0" i="0" u="none" baseline="0">
              <a:solidFill>
                <a:srgbClr val="000000"/>
              </a:solidFill>
              <a:latin typeface="Arial"/>
              <a:ea typeface="Arial"/>
              <a:cs typeface="Arial"/>
            </a:rPr>
            <a:t> Emission Scenario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24-hour modeling scenario assume that a designated number of turbines go through hot, warm, or cold startup during the 24-hour period.  For the remaining hours, assume the turbine emits at the maximum rate.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66</xdr:row>
      <xdr:rowOff>0</xdr:rowOff>
    </xdr:from>
    <xdr:to>
      <xdr:col>10</xdr:col>
      <xdr:colOff>361950</xdr:colOff>
      <xdr:row>86</xdr:row>
      <xdr:rowOff>76200</xdr:rowOff>
    </xdr:to>
    <xdr:sp>
      <xdr:nvSpPr>
        <xdr:cNvPr id="2" name="Text Box 2"/>
        <xdr:cNvSpPr txBox="1">
          <a:spLocks noChangeArrowheads="1"/>
        </xdr:cNvSpPr>
      </xdr:nvSpPr>
      <xdr:spPr>
        <a:xfrm>
          <a:off x="0" y="11868150"/>
          <a:ext cx="11439525" cy="3314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24 - Hour NO</a:t>
          </a:r>
          <a:r>
            <a:rPr lang="en-US" cap="none" sz="900" b="0" i="0" u="none" baseline="-25000">
              <a:solidFill>
                <a:srgbClr val="000000"/>
              </a:solidFill>
              <a:latin typeface="Arial"/>
              <a:ea typeface="Arial"/>
              <a:cs typeface="Arial"/>
            </a:rPr>
            <a:t>x</a:t>
          </a:r>
          <a:r>
            <a:rPr lang="en-US" cap="none" sz="900" b="0" i="0" u="none" baseline="0">
              <a:solidFill>
                <a:srgbClr val="000000"/>
              </a:solidFill>
              <a:latin typeface="Arial"/>
              <a:ea typeface="Arial"/>
              <a:cs typeface="Arial"/>
            </a:rPr>
            <a:t> Emission Rate Calculation for Turbines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Emissions Start  (lb) = # of turbines in start x  </a:t>
          </a:r>
          <a:r>
            <a:rPr lang="en-US" cap="none" sz="900" b="0" i="0" u="sng" baseline="0">
              <a:solidFill>
                <a:srgbClr val="000000"/>
              </a:solidFill>
              <a:latin typeface="Arial"/>
              <a:ea typeface="Arial"/>
              <a:cs typeface="Arial"/>
            </a:rPr>
            <a:t>hours in startup</a:t>
          </a:r>
          <a:r>
            <a:rPr lang="en-US" cap="none" sz="900" b="0" i="0" u="none" baseline="0">
              <a:solidFill>
                <a:srgbClr val="000000"/>
              </a:solidFill>
              <a:latin typeface="Arial"/>
              <a:ea typeface="Arial"/>
              <a:cs typeface="Arial"/>
            </a:rPr>
            <a:t> x </a:t>
          </a:r>
          <a:r>
            <a:rPr lang="en-US" cap="none" sz="900" b="0" i="0" u="sng" baseline="0">
              <a:solidFill>
                <a:srgbClr val="000000"/>
              </a:solidFill>
              <a:latin typeface="Arial"/>
              <a:ea typeface="Arial"/>
              <a:cs typeface="Arial"/>
            </a:rPr>
            <a:t>  lb    </a:t>
          </a:r>
          <a:r>
            <a:rPr lang="en-US" cap="none" sz="900" b="0" i="0" u="none" baseline="0">
              <a:solidFill>
                <a:srgbClr val="000000"/>
              </a:solidFill>
              <a:latin typeface="Arial"/>
              <a:ea typeface="Arial"/>
              <a:cs typeface="Arial"/>
            </a:rPr>
            <a:t> </a:t>
          </a:r>
          <a:r>
            <a:rPr lang="en-US" cap="none" sz="900" b="0" i="0" u="none" baseline="0">
              <a:solidFill>
                <a:srgbClr val="FFFFFF"/>
              </a:solidFill>
              <a:latin typeface="Arial"/>
              <a:ea typeface="Arial"/>
              <a:cs typeface="Arial"/>
            </a:rPr>
            <a:t>.
</a:t>
          </a:r>
          <a:r>
            <a:rPr lang="en-US" cap="none" sz="900" b="0" i="0" u="none" baseline="0">
              <a:solidFill>
                <a:srgbClr val="000000"/>
              </a:solidFill>
              <a:latin typeface="Arial"/>
              <a:ea typeface="Arial"/>
              <a:cs typeface="Arial"/>
            </a:rPr>
            <a:t>                                                                                turbine          hour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Emissions  Shutdown (lb) = # of turbines in shutdown x </a:t>
          </a:r>
          <a:r>
            <a:rPr lang="en-US" cap="none" sz="900" b="0" i="0" u="sng" baseline="0">
              <a:solidFill>
                <a:srgbClr val="000000"/>
              </a:solidFill>
              <a:latin typeface="Arial"/>
              <a:ea typeface="Arial"/>
              <a:cs typeface="Arial"/>
            </a:rPr>
            <a:t>hours in shutdown</a:t>
          </a:r>
          <a:r>
            <a:rPr lang="en-US" cap="none" sz="900" b="0" i="0" u="none" baseline="0">
              <a:solidFill>
                <a:srgbClr val="000000"/>
              </a:solidFill>
              <a:latin typeface="Arial"/>
              <a:ea typeface="Arial"/>
              <a:cs typeface="Arial"/>
            </a:rPr>
            <a:t> x </a:t>
          </a:r>
          <a:r>
            <a:rPr lang="en-US" cap="none" sz="900" b="0" i="0" u="sng" baseline="0">
              <a:solidFill>
                <a:srgbClr val="000000"/>
              </a:solidFill>
              <a:latin typeface="Arial"/>
              <a:ea typeface="Arial"/>
              <a:cs typeface="Arial"/>
            </a:rPr>
            <a:t>shutdown</a:t>
          </a:r>
          <a:r>
            <a:rPr lang="en-US" cap="none" sz="900" b="0" i="0" u="none" baseline="0">
              <a:solidFill>
                <a:srgbClr val="000000"/>
              </a:solidFill>
              <a:latin typeface="Arial"/>
              <a:ea typeface="Arial"/>
              <a:cs typeface="Arial"/>
            </a:rPr>
            <a:t> x </a:t>
          </a:r>
          <a:r>
            <a:rPr lang="en-US" cap="none" sz="900" b="0" i="0" u="sng" baseline="0">
              <a:solidFill>
                <a:srgbClr val="000000"/>
              </a:solidFill>
              <a:latin typeface="Arial"/>
              <a:ea typeface="Arial"/>
              <a:cs typeface="Arial"/>
            </a:rPr>
            <a:t>       lb       </a:t>
          </a:r>
          <a:r>
            <a:rPr lang="en-US" cap="none" sz="900" b="0" i="0" u="none" baseline="0">
              <a:solidFill>
                <a:srgbClr val="000000"/>
              </a:solidFill>
              <a:latin typeface="Arial"/>
              <a:ea typeface="Arial"/>
              <a:cs typeface="Arial"/>
            </a:rPr>
            <a:t> </a:t>
          </a:r>
          <a:r>
            <a:rPr lang="en-US" cap="none" sz="900" b="0" i="0" u="none" baseline="0">
              <a:solidFill>
                <a:srgbClr val="FFFFFF"/>
              </a:solidFill>
              <a:latin typeface="Arial"/>
              <a:ea typeface="Arial"/>
              <a:cs typeface="Arial"/>
            </a:rPr>
            <a:t>.
</a:t>
          </a:r>
          <a:r>
            <a:rPr lang="en-US" cap="none" sz="900" b="0" i="0" u="none" baseline="0">
              <a:solidFill>
                <a:srgbClr val="000000"/>
              </a:solidFill>
              <a:latin typeface="Arial"/>
              <a:ea typeface="Arial"/>
              <a:cs typeface="Arial"/>
            </a:rPr>
            <a:t>                                                                                                   turbine                hour        shutdown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Emissions from Normal Operation for Turbines (lb) = # of turbines x </a:t>
          </a:r>
          <a:r>
            <a:rPr lang="en-US" cap="none" sz="1000" b="0" i="0" u="none"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(24 hours - hours in startup and shutdown)</a:t>
          </a:r>
          <a:r>
            <a:rPr lang="en-US" cap="none" sz="900" b="0" i="0" u="sng"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x  </a:t>
          </a:r>
          <a:r>
            <a:rPr lang="en-US" cap="none" sz="900" b="0" i="0" u="sng" baseline="0">
              <a:solidFill>
                <a:srgbClr val="000000"/>
              </a:solidFill>
              <a:latin typeface="Arial"/>
              <a:ea typeface="Arial"/>
              <a:cs typeface="Arial"/>
            </a:rPr>
            <a:t>   lb   </a:t>
          </a:r>
          <a:r>
            <a:rPr lang="en-US" cap="none" sz="900" b="0" i="0" u="none" baseline="0">
              <a:solidFill>
                <a:srgbClr val="000000"/>
              </a:solidFill>
              <a:latin typeface="Arial"/>
              <a:ea typeface="Arial"/>
              <a:cs typeface="Arial"/>
            </a:rPr>
            <a:t>   (controlled) normal operation       
</a:t>
          </a:r>
          <a:r>
            <a:rPr lang="en-US" cap="none" sz="900" b="0" i="0" u="none" baseline="0">
              <a:solidFill>
                <a:srgbClr val="000000"/>
              </a:solidFill>
              <a:latin typeface="Arial"/>
              <a:ea typeface="Arial"/>
              <a:cs typeface="Arial"/>
            </a:rPr>
            <a:t>                                                                                                                                           turbine                                     hour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Total Emissions 24-hour Period = Emissions from Hot Starts + Emissions from Warm Starts + Emissions from Cold Starts + Emissions from Shutdowns + Emissions from Normal Operation for Turbines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Average Emission Rate Each Turbine </a:t>
          </a:r>
          <a:r>
            <a:rPr lang="en-US" cap="none" sz="900" b="0" i="0" u="sng" baseline="0">
              <a:solidFill>
                <a:srgbClr val="000000"/>
              </a:solidFill>
              <a:latin typeface="Arial"/>
              <a:ea typeface="Arial"/>
              <a:cs typeface="Arial"/>
            </a:rPr>
            <a:t>   lb    </a:t>
          </a:r>
          <a:r>
            <a:rPr lang="en-US" cap="none" sz="900" b="0" i="0" u="none" baseline="0">
              <a:solidFill>
                <a:srgbClr val="000000"/>
              </a:solidFill>
              <a:latin typeface="Arial"/>
              <a:ea typeface="Arial"/>
              <a:cs typeface="Arial"/>
            </a:rPr>
            <a:t>  =  lb all turbines for 24 hour period  x  </a:t>
          </a:r>
          <a:r>
            <a:rPr lang="en-US" cap="none" sz="900" b="0" i="0" u="sng" baseline="0">
              <a:solidFill>
                <a:srgbClr val="000000"/>
              </a:solidFill>
              <a:latin typeface="Arial"/>
              <a:ea typeface="Arial"/>
              <a:cs typeface="Arial"/>
            </a:rPr>
            <a:t>        1      </a:t>
          </a:r>
          <a:r>
            <a:rPr lang="en-US" cap="none" sz="900" b="0" i="0" u="none" baseline="0">
              <a:solidFill>
                <a:srgbClr val="000000"/>
              </a:solidFill>
              <a:latin typeface="Arial"/>
              <a:ea typeface="Arial"/>
              <a:cs typeface="Arial"/>
            </a:rPr>
            <a:t>     x   </a:t>
          </a:r>
          <a:r>
            <a:rPr lang="en-US" cap="none" sz="900" b="0" i="0" u="sng" baseline="0">
              <a:solidFill>
                <a:srgbClr val="000000"/>
              </a:solidFill>
              <a:latin typeface="Arial"/>
              <a:ea typeface="Arial"/>
              <a:cs typeface="Arial"/>
            </a:rPr>
            <a:t>        1            </a:t>
          </a:r>
          <a:r>
            <a:rPr lang="en-US" cap="none" sz="900" b="0" i="0" u="sng" baseline="0">
              <a:solidFill>
                <a:srgbClr val="FFFFFF"/>
              </a:solidFill>
              <a:latin typeface="Arial"/>
              <a:ea typeface="Arial"/>
              <a:cs typeface="Arial"/>
            </a:rPr>
            <a:t>.</a:t>
          </a:r>
          <a:r>
            <a:rPr lang="en-US" cap="none" sz="900" b="0" i="0" u="sng"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hour                                                                 24 hours            # of  turbines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Conversion from lb/hour to tons/day
</a:t>
          </a:r>
          <a:r>
            <a:rPr lang="en-US" cap="none" sz="900" b="0" i="0" u="sng" baseline="0">
              <a:solidFill>
                <a:srgbClr val="000000"/>
              </a:solidFill>
              <a:latin typeface="Arial"/>
              <a:ea typeface="Arial"/>
              <a:cs typeface="Arial"/>
            </a:rPr>
            <a:t>tons</a:t>
          </a:r>
          <a:r>
            <a:rPr lang="en-US" cap="none" sz="900" b="0" i="0" u="none" baseline="0">
              <a:solidFill>
                <a:srgbClr val="000000"/>
              </a:solidFill>
              <a:latin typeface="Arial"/>
              <a:ea typeface="Arial"/>
              <a:cs typeface="Arial"/>
            </a:rPr>
            <a:t> = </a:t>
          </a:r>
          <a:r>
            <a:rPr lang="en-US" cap="none" sz="900" b="0" i="0" u="sng" baseline="0">
              <a:solidFill>
                <a:srgbClr val="000000"/>
              </a:solidFill>
              <a:latin typeface="Arial"/>
              <a:ea typeface="Arial"/>
              <a:cs typeface="Arial"/>
            </a:rPr>
            <a:t> lb   </a:t>
          </a:r>
          <a:r>
            <a:rPr lang="en-US" cap="none" sz="900" b="0" i="0" u="none" baseline="0">
              <a:solidFill>
                <a:srgbClr val="000000"/>
              </a:solidFill>
              <a:latin typeface="Arial"/>
              <a:ea typeface="Arial"/>
              <a:cs typeface="Arial"/>
            </a:rPr>
            <a:t>  x  </a:t>
          </a:r>
          <a:r>
            <a:rPr lang="en-US" cap="none" sz="900" b="0" i="0" u="sng" baseline="0">
              <a:solidFill>
                <a:srgbClr val="000000"/>
              </a:solidFill>
              <a:latin typeface="Arial"/>
              <a:ea typeface="Arial"/>
              <a:cs typeface="Arial"/>
            </a:rPr>
            <a:t>hours</a:t>
          </a:r>
          <a:r>
            <a:rPr lang="en-US" cap="none" sz="900" b="0" i="0" u="none" baseline="0">
              <a:solidFill>
                <a:srgbClr val="000000"/>
              </a:solidFill>
              <a:latin typeface="Arial"/>
              <a:ea typeface="Arial"/>
              <a:cs typeface="Arial"/>
            </a:rPr>
            <a:t>   x   </a:t>
          </a:r>
          <a:r>
            <a:rPr lang="en-US" cap="none" sz="900" b="0" i="0" u="sng" baseline="0">
              <a:solidFill>
                <a:srgbClr val="000000"/>
              </a:solidFill>
              <a:latin typeface="Arial"/>
              <a:ea typeface="Arial"/>
              <a:cs typeface="Arial"/>
            </a:rPr>
            <a:t>   tons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day     hour       day           2000 lb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Calculation of Emissions in tons/day from all equipment
</a:t>
          </a:r>
          <a:r>
            <a:rPr lang="en-US" cap="none" sz="900" b="0" i="0" u="none" baseline="0">
              <a:solidFill>
                <a:srgbClr val="000000"/>
              </a:solidFill>
              <a:latin typeface="Arial"/>
              <a:ea typeface="Arial"/>
              <a:cs typeface="Arial"/>
            </a:rPr>
            <a:t>
</a:t>
          </a:r>
          <a:r>
            <a:rPr lang="en-US" cap="none" sz="900" b="0" i="0" u="sng" baseline="0">
              <a:solidFill>
                <a:srgbClr val="000000"/>
              </a:solidFill>
              <a:latin typeface="Arial"/>
              <a:ea typeface="Arial"/>
              <a:cs typeface="Arial"/>
            </a:rPr>
            <a:t>tons</a:t>
          </a:r>
          <a:r>
            <a:rPr lang="en-US" cap="none" sz="900" b="0" i="0" u="none" baseline="0">
              <a:solidFill>
                <a:srgbClr val="000000"/>
              </a:solidFill>
              <a:latin typeface="Arial"/>
              <a:ea typeface="Arial"/>
              <a:cs typeface="Arial"/>
            </a:rPr>
            <a:t>  = </a:t>
          </a:r>
          <a:r>
            <a:rPr lang="en-US" cap="none" sz="900" b="0" i="0" u="sng" baseline="0">
              <a:solidFill>
                <a:srgbClr val="000000"/>
              </a:solidFill>
              <a:latin typeface="Arial"/>
              <a:ea typeface="Arial"/>
              <a:cs typeface="Arial"/>
            </a:rPr>
            <a:t>tons</a:t>
          </a:r>
          <a:r>
            <a:rPr lang="en-US" cap="none" sz="900" b="0" i="0" u="none" baseline="0">
              <a:solidFill>
                <a:srgbClr val="000000"/>
              </a:solidFill>
              <a:latin typeface="Arial"/>
              <a:ea typeface="Arial"/>
              <a:cs typeface="Arial"/>
            </a:rPr>
            <a:t>   x   # of pieces of Equipment
</a:t>
          </a:r>
          <a:r>
            <a:rPr lang="en-US" cap="none" sz="900" b="0" i="0" u="none" baseline="0">
              <a:solidFill>
                <a:srgbClr val="000000"/>
              </a:solidFill>
              <a:latin typeface="Arial"/>
              <a:ea typeface="Arial"/>
              <a:cs typeface="Arial"/>
            </a:rPr>
            <a:t>day        day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14</xdr:row>
      <xdr:rowOff>19050</xdr:rowOff>
    </xdr:from>
    <xdr:to>
      <xdr:col>12</xdr:col>
      <xdr:colOff>762000</xdr:colOff>
      <xdr:row>33</xdr:row>
      <xdr:rowOff>76200</xdr:rowOff>
    </xdr:to>
    <xdr:sp>
      <xdr:nvSpPr>
        <xdr:cNvPr id="1" name="Text Box 3"/>
        <xdr:cNvSpPr txBox="1">
          <a:spLocks noChangeArrowheads="1"/>
        </xdr:cNvSpPr>
      </xdr:nvSpPr>
      <xdr:spPr>
        <a:xfrm>
          <a:off x="133350" y="2600325"/>
          <a:ext cx="10239375" cy="3133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For turbines and Duct Burners: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Normal operation values are from the spreadsheet titled "Combined Turbine and Duct Burner Hourly Emission Rates"
</a:t>
          </a:r>
          <a:r>
            <a:rPr lang="en-US" cap="none" sz="1000" b="0" i="0" u="none" baseline="0">
              <a:solidFill>
                <a:srgbClr val="000000"/>
              </a:solidFill>
              <a:latin typeface="Arial"/>
              <a:ea typeface="Arial"/>
              <a:cs typeface="Arial"/>
            </a:rPr>
            <a:t>Startup values for NOx, CO, and VOC are maximum  values from the spreadsheet titled "Turbine Startup Emissions"
</a:t>
          </a:r>
          <a:r>
            <a:rPr lang="en-US" cap="none" sz="1000" b="0" i="0" u="none" baseline="0">
              <a:solidFill>
                <a:srgbClr val="000000"/>
              </a:solidFill>
              <a:latin typeface="Arial"/>
              <a:ea typeface="Arial"/>
              <a:cs typeface="Arial"/>
            </a:rPr>
            <a:t>Startup values for SO2 and PM</a:t>
          </a:r>
          <a:r>
            <a:rPr lang="en-US" cap="none" sz="1000" b="0" i="0" u="none"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/PM</a:t>
          </a:r>
          <a:r>
            <a:rPr lang="en-US" cap="none" sz="1000" b="0" i="0" u="none" baseline="-25000">
              <a:solidFill>
                <a:srgbClr val="000000"/>
              </a:solidFill>
              <a:latin typeface="Arial"/>
              <a:ea typeface="Arial"/>
              <a:cs typeface="Arial"/>
            </a:rPr>
            <a:t>2.5</a:t>
          </a:r>
          <a:r>
            <a:rPr lang="en-US" cap="none" sz="1000" b="0" i="0" u="none" baseline="0">
              <a:solidFill>
                <a:srgbClr val="000000"/>
              </a:solidFill>
              <a:latin typeface="Arial"/>
              <a:ea typeface="Arial"/>
              <a:cs typeface="Arial"/>
            </a:rPr>
            <a:t> are maximum turbine only (no duct firing) emissions from the spreadshee "Turbine Hourly CriteriaEmission"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auxiliary boiler:
</a:t>
          </a:r>
          <a:r>
            <a:rPr lang="en-US" cap="none" sz="1000" b="0" i="0" u="none" baseline="0">
              <a:solidFill>
                <a:srgbClr val="000000"/>
              </a:solidFill>
              <a:latin typeface="Arial"/>
              <a:ea typeface="Arial"/>
              <a:cs typeface="Arial"/>
            </a:rPr>
            <a:t>Ton/year values are from the spreadsheet titled "Auxiliary Boiler Data and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emergency fire pump:
</a:t>
          </a:r>
          <a:r>
            <a:rPr lang="en-US" cap="none" sz="1000" b="0" i="0" u="none" baseline="0">
              <a:solidFill>
                <a:srgbClr val="000000"/>
              </a:solidFill>
              <a:latin typeface="Arial"/>
              <a:ea typeface="Arial"/>
              <a:cs typeface="Arial"/>
            </a:rPr>
            <a:t>Ton/year values are from the spreadsheet titled "Emergency Fire Pump Data and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cooling tower: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Tons/year value comes from the spreadsheets titled "Cooling Tower PM/PM</a:t>
          </a:r>
          <a:r>
            <a:rPr lang="en-US" cap="none" sz="1000" b="0" i="0" u="none"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/PM</a:t>
          </a:r>
          <a:r>
            <a:rPr lang="en-US" cap="none" sz="1000" b="0" i="0" u="none" baseline="-25000">
              <a:solidFill>
                <a:srgbClr val="000000"/>
              </a:solidFill>
              <a:latin typeface="Arial"/>
              <a:ea typeface="Arial"/>
              <a:cs typeface="Arial"/>
            </a:rPr>
            <a:t>2.5</a:t>
          </a:r>
          <a:r>
            <a:rPr lang="en-US" cap="none" sz="1000" b="0" i="0" u="none" baseline="0">
              <a:solidFill>
                <a:srgbClr val="000000"/>
              </a:solidFill>
              <a:latin typeface="Arial"/>
              <a:ea typeface="Arial"/>
              <a:cs typeface="Arial"/>
            </a:rPr>
            <a:t> Emissions" and "Cooling Tower HAP Emissions"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evaporation pond: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Tons/year value comes from the spreadsheet titled "Evaporation Pond Chloroform Emissions".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Project Emissions tons = tons Each Piece of Equipment x # of Pieces of Equipment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turbines, duct burners, auxiliary boiler, and emergency fire pump assume PM</a:t>
          </a:r>
          <a:r>
            <a:rPr lang="en-US" cap="none" sz="1000" b="0" i="0" u="none"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 = PM</a:t>
          </a:r>
          <a:r>
            <a:rPr lang="en-US" cap="none" sz="1000" b="0" i="0" u="none" baseline="-25000">
              <a:solidFill>
                <a:srgbClr val="000000"/>
              </a:solidFill>
              <a:latin typeface="Arial"/>
              <a:ea typeface="Arial"/>
              <a:cs typeface="Arial"/>
            </a:rPr>
            <a:t>2.5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35</xdr:row>
      <xdr:rowOff>95250</xdr:rowOff>
    </xdr:from>
    <xdr:to>
      <xdr:col>7</xdr:col>
      <xdr:colOff>704850</xdr:colOff>
      <xdr:row>61</xdr:row>
      <xdr:rowOff>104775</xdr:rowOff>
    </xdr:to>
    <xdr:sp>
      <xdr:nvSpPr>
        <xdr:cNvPr id="1" name="Text Box 1"/>
        <xdr:cNvSpPr txBox="1">
          <a:spLocks noChangeArrowheads="1"/>
        </xdr:cNvSpPr>
      </xdr:nvSpPr>
      <xdr:spPr>
        <a:xfrm>
          <a:off x="28575" y="6534150"/>
          <a:ext cx="8039100" cy="4219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ANNUAL HAP EMISSIONS IN TONS PER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Values for Turbine and Duct Burners are the from the spreadsheets titled "Turbine and Duct Burner HAP Emissions"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Because PAHs are a subset of POMs, the value for POMs for  the turbines and duct burners is the value for PAHs emissions.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Values for Auxiliary Boiler are from the spreadsheet titled "Auxiliary Boiler Data and Emissions".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Values for Emergency Fire Pump are from the spreadsheet titled "Emergency Fire Pump Data and Emissions"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Values for the Cooling Tower are from the spreadsheet titled "Cooling Tower HAPs".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Values for the Evaporation Pond are from the spreadsheet titled "Evaporation Pond Chloroform Emissions".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of each pollutant for the Project is calculated as follows: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    ( </a:t>
          </a:r>
          <a:r>
            <a:rPr lang="en-US" cap="none" sz="1000" b="0" i="0" u="sng" baseline="0">
              <a:solidFill>
                <a:srgbClr val="000000"/>
              </a:solidFill>
              <a:latin typeface="Arial"/>
              <a:ea typeface="Arial"/>
              <a:cs typeface="Arial"/>
            </a:rPr>
            <a:t>tons </a:t>
          </a:r>
          <a:r>
            <a:rPr lang="en-US" cap="none" sz="1000" b="0" i="0" u="none" baseline="0">
              <a:solidFill>
                <a:srgbClr val="000000"/>
              </a:solidFill>
              <a:latin typeface="Arial"/>
              <a:ea typeface="Arial"/>
              <a:cs typeface="Arial"/>
            </a:rPr>
            <a:t>for each turbine  x   number of turbines)  +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for each auxiliary boiler  x number of auxiliary boilers) 
</a:t>
          </a:r>
          <a:r>
            <a:rPr lang="en-US" cap="none" sz="1000" b="0" i="0" u="none" baseline="0">
              <a:solidFill>
                <a:srgbClr val="000000"/>
              </a:solidFill>
              <a:latin typeface="Arial"/>
              <a:ea typeface="Arial"/>
              <a:cs typeface="Arial"/>
            </a:rPr>
            <a:t>year              year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for fire pump x number of fire pumps) + (</a:t>
          </a:r>
          <a:r>
            <a:rPr lang="en-US" cap="none" sz="1000" b="0" i="0" u="sng" baseline="0">
              <a:solidFill>
                <a:srgbClr val="000000"/>
              </a:solidFill>
              <a:latin typeface="Arial"/>
              <a:ea typeface="Arial"/>
              <a:cs typeface="Arial"/>
            </a:rPr>
            <a:t>tons</a:t>
          </a:r>
          <a:r>
            <a:rPr lang="en-US" cap="none" sz="1000" b="0" i="0" u="none" baseline="0">
              <a:solidFill>
                <a:srgbClr val="000000"/>
              </a:solidFill>
              <a:latin typeface="Arial"/>
              <a:ea typeface="Arial"/>
              <a:cs typeface="Arial"/>
            </a:rPr>
            <a:t> for each cooling tower x number of cooling towers) + (</a:t>
          </a:r>
          <a:r>
            <a:rPr lang="en-US" cap="none" sz="1000" b="0" i="0" u="sng" baseline="0">
              <a:solidFill>
                <a:srgbClr val="000000"/>
              </a:solidFill>
              <a:latin typeface="Arial"/>
              <a:ea typeface="Arial"/>
              <a:cs typeface="Arial"/>
            </a:rPr>
            <a:t>tons </a:t>
          </a:r>
          <a:r>
            <a:rPr lang="en-US" cap="none" sz="1000" b="0" i="0" u="none" baseline="0">
              <a:solidFill>
                <a:srgbClr val="000000"/>
              </a:solidFill>
              <a:latin typeface="Arial"/>
              <a:ea typeface="Arial"/>
              <a:cs typeface="Arial"/>
            </a:rPr>
            <a:t>for evaporation ponds)
</a:t>
          </a:r>
          <a:r>
            <a:rPr lang="en-US" cap="none" sz="1000" b="0" i="0" u="none" baseline="0">
              <a:solidFill>
                <a:srgbClr val="000000"/>
              </a:solidFill>
              <a:latin typeface="Arial"/>
              <a:ea typeface="Arial"/>
              <a:cs typeface="Arial"/>
            </a:rPr>
            <a:t>    year                                                                  year                                                                                      year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78</xdr:row>
      <xdr:rowOff>142875</xdr:rowOff>
    </xdr:from>
    <xdr:to>
      <xdr:col>10</xdr:col>
      <xdr:colOff>504825</xdr:colOff>
      <xdr:row>86</xdr:row>
      <xdr:rowOff>85725</xdr:rowOff>
    </xdr:to>
    <xdr:sp>
      <xdr:nvSpPr>
        <xdr:cNvPr id="1" name="Text Box 1"/>
        <xdr:cNvSpPr txBox="1">
          <a:spLocks noChangeArrowheads="1"/>
        </xdr:cNvSpPr>
      </xdr:nvSpPr>
      <xdr:spPr>
        <a:xfrm>
          <a:off x="9525" y="13563600"/>
          <a:ext cx="9534525" cy="1238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Startup emissions are the maximum emissions for each ambient temperature from spreadsheet titled "Turbine Startup Data &amp; Emissions".  For SO</a:t>
          </a:r>
          <a:r>
            <a:rPr lang="en-US" cap="none" sz="1000" b="0" i="0" u="none" baseline="-25000">
              <a:solidFill>
                <a:srgbClr val="000000"/>
              </a:solidFill>
              <a:latin typeface="Arial"/>
              <a:ea typeface="Arial"/>
              <a:cs typeface="Arial"/>
            </a:rPr>
            <a:t>2</a:t>
          </a:r>
          <a:r>
            <a:rPr lang="en-US" cap="none" sz="1000" b="0" i="0" u="none" baseline="0">
              <a:solidFill>
                <a:srgbClr val="000000"/>
              </a:solidFill>
              <a:latin typeface="Arial"/>
              <a:ea typeface="Arial"/>
              <a:cs typeface="Arial"/>
            </a:rPr>
            <a:t> and PM/PM</a:t>
          </a:r>
          <a:r>
            <a:rPr lang="en-US" cap="none" sz="1000" b="0" i="0" u="none" baseline="-25000">
              <a:solidFill>
                <a:srgbClr val="000000"/>
              </a:solidFill>
              <a:latin typeface="Arial"/>
              <a:ea typeface="Arial"/>
              <a:cs typeface="Arial"/>
            </a:rPr>
            <a:t>10</a:t>
          </a:r>
          <a:r>
            <a:rPr lang="en-US" cap="none" sz="1000" b="0" i="0" u="none" baseline="0">
              <a:solidFill>
                <a:srgbClr val="000000"/>
              </a:solidFill>
              <a:latin typeface="Arial"/>
              <a:ea typeface="Arial"/>
              <a:cs typeface="Arial"/>
            </a:rPr>
            <a:t>/PM</a:t>
          </a:r>
          <a:r>
            <a:rPr lang="en-US" cap="none" sz="1000" b="0" i="0" u="none" baseline="-25000">
              <a:solidFill>
                <a:srgbClr val="000000"/>
              </a:solidFill>
              <a:latin typeface="Arial"/>
              <a:ea typeface="Arial"/>
              <a:cs typeface="Arial"/>
            </a:rPr>
            <a:t>2.5</a:t>
          </a:r>
          <a:r>
            <a:rPr lang="en-US" cap="none" sz="1000" b="0" i="0" u="none" baseline="0">
              <a:solidFill>
                <a:srgbClr val="000000"/>
              </a:solidFill>
              <a:latin typeface="Arial"/>
              <a:ea typeface="Arial"/>
              <a:cs typeface="Arial"/>
            </a:rPr>
            <a:t> maximum normal operation emission rate is used for startup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Turbine normal operation e</a:t>
          </a:r>
          <a:r>
            <a:rPr lang="en-US" cap="none" sz="1000" b="0" i="0" u="none" baseline="0">
              <a:solidFill>
                <a:srgbClr val="000000"/>
              </a:solidFill>
              <a:latin typeface="Arial"/>
              <a:ea typeface="Arial"/>
              <a:cs typeface="Arial"/>
            </a:rPr>
            <a:t>missions are from heat balance provided by Kiewit Power Engineers.</a:t>
          </a:r>
          <a:r>
            <a:rPr lang="en-US" cap="none" sz="1000" b="0" i="0" u="none" baseline="0">
              <a:solidFill>
                <a:srgbClr val="000000"/>
              </a:solidFill>
              <a:latin typeface="Arial"/>
              <a:ea typeface="Arial"/>
              <a:cs typeface="Arial"/>
            </a:rPr>
            <a:t>  Heat balance shows no control for VOCs with no duct firing.  Control efficiency of 41.0% from heat balance for VOC emissions with duct firing used to calculate controlled VOC emissions for normal operation with no duct firing.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Controlled VOC Emissions (no duct firing)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Uncontrolled VOC Emissions (no duct firing)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(1 - Control Efficiency [0.41])
</a:t>
          </a:r>
          <a:r>
            <a:rPr lang="en-US" cap="none" sz="1000" b="0" i="0" u="none" baseline="0">
              <a:solidFill>
                <a:srgbClr val="000000"/>
              </a:solidFill>
              <a:latin typeface="Arial"/>
              <a:ea typeface="Arial"/>
              <a:cs typeface="Arial"/>
            </a:rPr>
            <a:t>                                                                    hour                                                                            hour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19050</xdr:rowOff>
    </xdr:from>
    <xdr:to>
      <xdr:col>11</xdr:col>
      <xdr:colOff>142875</xdr:colOff>
      <xdr:row>79</xdr:row>
      <xdr:rowOff>38100</xdr:rowOff>
    </xdr:to>
    <xdr:sp>
      <xdr:nvSpPr>
        <xdr:cNvPr id="1" name="Text Box 1"/>
        <xdr:cNvSpPr txBox="1">
          <a:spLocks noChangeArrowheads="1"/>
        </xdr:cNvSpPr>
      </xdr:nvSpPr>
      <xdr:spPr>
        <a:xfrm>
          <a:off x="38100" y="10858500"/>
          <a:ext cx="7839075" cy="2286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Hours of Turbine only Operation:
</a:t>
          </a:r>
          <a:r>
            <a:rPr lang="en-US" cap="none" sz="1000" b="0" i="0" u="none" baseline="0">
              <a:solidFill>
                <a:srgbClr val="000000"/>
              </a:solidFill>
              <a:latin typeface="Arial"/>
              <a:ea typeface="Arial"/>
              <a:cs typeface="Arial"/>
            </a:rPr>
            <a:t>Turbine Only Operation </a:t>
          </a:r>
          <a:r>
            <a:rPr lang="en-US" cap="none" sz="1000" b="0" i="0" u="sng"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 (8760 </a:t>
          </a:r>
          <a:r>
            <a:rPr lang="en-US" cap="none" sz="1000" b="0" i="0" u="sng"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x capacity factor) - duct burner operation </a:t>
          </a:r>
          <a:r>
            <a:rPr lang="en-US" cap="none" sz="1000" b="0" i="0" u="sng"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 startup </a:t>
          </a:r>
          <a:r>
            <a:rPr lang="en-US" cap="none" sz="1000" b="0" i="0" u="sng" baseline="0">
              <a:solidFill>
                <a:srgbClr val="000000"/>
              </a:solidFill>
              <a:latin typeface="Arial"/>
              <a:ea typeface="Arial"/>
              <a:cs typeface="Arial"/>
            </a:rPr>
            <a:t>hours  </a:t>
          </a:r>
          <a:r>
            <a:rPr lang="en-US" cap="none" sz="1000" b="0" i="0" u="none" baseline="0">
              <a:solidFill>
                <a:srgbClr val="000000"/>
              </a:solidFill>
              <a:latin typeface="Arial"/>
              <a:ea typeface="Arial"/>
              <a:cs typeface="Arial"/>
            </a:rPr>
            <a:t> - shutdown </a:t>
          </a:r>
          <a:r>
            <a:rPr lang="en-US" cap="none" sz="1000" b="0" i="0" u="sng"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year                year                                                                     year                  year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Startup and Normal Operation lb/hour emission values used in calculations for all pollutants are from the spreadsheet "Turbine and Duct Burner Hourly".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Emissions are calculated based on the annual average ambient temperature of 59</a:t>
          </a:r>
          <a:r>
            <a:rPr lang="en-US" cap="none" sz="1000" b="0" i="0" u="none" baseline="30000">
              <a:solidFill>
                <a:srgbClr val="000000"/>
              </a:solidFill>
              <a:latin typeface="Arial"/>
              <a:ea typeface="Arial"/>
              <a:cs typeface="Arial"/>
            </a:rPr>
            <a:t>o</a:t>
          </a:r>
          <a:r>
            <a:rPr lang="en-US" cap="none" sz="1000" b="0" i="0" u="none" baseline="0">
              <a:solidFill>
                <a:srgbClr val="000000"/>
              </a:solidFill>
              <a:latin typeface="Arial"/>
              <a:ea typeface="Arial"/>
              <a:cs typeface="Arial"/>
            </a:rPr>
            <a:t>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Shutdown emission values are from the spreadsheet "Turbine Shutdown Emissions".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tons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tons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year      hour       year       2000 lb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34</xdr:row>
      <xdr:rowOff>66675</xdr:rowOff>
    </xdr:from>
    <xdr:to>
      <xdr:col>10</xdr:col>
      <xdr:colOff>542925</xdr:colOff>
      <xdr:row>41</xdr:row>
      <xdr:rowOff>9525</xdr:rowOff>
    </xdr:to>
    <xdr:sp>
      <xdr:nvSpPr>
        <xdr:cNvPr id="1" name="Text Box 1"/>
        <xdr:cNvSpPr txBox="1">
          <a:spLocks noChangeArrowheads="1"/>
        </xdr:cNvSpPr>
      </xdr:nvSpPr>
      <xdr:spPr>
        <a:xfrm>
          <a:off x="38100" y="7362825"/>
          <a:ext cx="9629775" cy="1076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Total </a:t>
          </a:r>
          <a:r>
            <a:rPr lang="en-US" cap="none" sz="1000" b="0" i="0" u="sng"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in Startup = (</a:t>
          </a:r>
          <a:r>
            <a:rPr lang="en-US" cap="none" sz="1000" b="0" i="0" u="sng" baseline="0">
              <a:solidFill>
                <a:srgbClr val="000000"/>
              </a:solidFill>
              <a:latin typeface="Arial"/>
              <a:ea typeface="Arial"/>
              <a:cs typeface="Arial"/>
            </a:rPr>
            <a:t>Number of Hot Start</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Hours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Number of Warm Starts </a:t>
          </a:r>
          <a:r>
            <a:rPr lang="en-US" cap="none" sz="1000" b="0" i="0" u="none" baseline="0">
              <a:solidFill>
                <a:srgbClr val="000000"/>
              </a:solidFill>
              <a:latin typeface="Arial"/>
              <a:ea typeface="Arial"/>
              <a:cs typeface="Arial"/>
            </a:rPr>
            <a:t>x </a:t>
          </a:r>
          <a:r>
            <a:rPr lang="en-US" cap="none" sz="1000" b="0" i="0" u="sng" baseline="0">
              <a:solidFill>
                <a:srgbClr val="000000"/>
              </a:solidFill>
              <a:latin typeface="Arial"/>
              <a:ea typeface="Arial"/>
              <a:cs typeface="Arial"/>
            </a:rPr>
            <a:t>      Hours    </a:t>
          </a:r>
          <a:r>
            <a:rPr lang="en-US" cap="none" sz="1000" b="0" i="0" u="none" baseline="0">
              <a:solidFill>
                <a:srgbClr val="000000"/>
              </a:solidFill>
              <a:latin typeface="Arial"/>
              <a:ea typeface="Arial"/>
              <a:cs typeface="Arial"/>
            </a:rPr>
            <a:t> ) + (</a:t>
          </a:r>
          <a:r>
            <a:rPr lang="en-US" cap="none" sz="1000" b="0" i="0" u="sng" baseline="0">
              <a:solidFill>
                <a:srgbClr val="000000"/>
              </a:solidFill>
              <a:latin typeface="Arial"/>
              <a:ea typeface="Arial"/>
              <a:cs typeface="Arial"/>
            </a:rPr>
            <a:t>Number of Cold Starts </a:t>
          </a:r>
          <a:r>
            <a:rPr lang="en-US" cap="none" sz="1000" b="0" i="0" u="none" baseline="0">
              <a:solidFill>
                <a:srgbClr val="000000"/>
              </a:solidFill>
              <a:latin typeface="Arial"/>
              <a:ea typeface="Arial"/>
              <a:cs typeface="Arial"/>
            </a:rPr>
            <a:t>x  </a:t>
          </a:r>
          <a:r>
            <a:rPr lang="en-US" cap="none" sz="1000" b="0" i="0" u="sng" baseline="0">
              <a:solidFill>
                <a:srgbClr val="000000"/>
              </a:solidFill>
              <a:latin typeface="Arial"/>
              <a:ea typeface="Arial"/>
              <a:cs typeface="Arial"/>
            </a:rPr>
            <a:t>   Hours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Year                                     Year               Hot Start                         Year                   Warm Start                       Year                  Cold Start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Hot Start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event
</a:t>
          </a:r>
          <a:r>
            <a:rPr lang="en-US" cap="none" sz="1000" b="0" i="0" u="none" baseline="0">
              <a:solidFill>
                <a:srgbClr val="000000"/>
              </a:solidFill>
              <a:latin typeface="Arial"/>
              <a:ea typeface="Arial"/>
              <a:cs typeface="Arial"/>
            </a:rPr>
            <a:t>               hour    event    hour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9525</xdr:rowOff>
    </xdr:from>
    <xdr:to>
      <xdr:col>11</xdr:col>
      <xdr:colOff>809625</xdr:colOff>
      <xdr:row>51</xdr:row>
      <xdr:rowOff>114300</xdr:rowOff>
    </xdr:to>
    <xdr:sp>
      <xdr:nvSpPr>
        <xdr:cNvPr id="1" name="Text Box 1"/>
        <xdr:cNvSpPr txBox="1">
          <a:spLocks noChangeArrowheads="1"/>
        </xdr:cNvSpPr>
      </xdr:nvSpPr>
      <xdr:spPr>
        <a:xfrm>
          <a:off x="9525" y="8439150"/>
          <a:ext cx="10629900" cy="2695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hours in shutdown </a:t>
          </a:r>
          <a:r>
            <a:rPr lang="en-US" cap="none" sz="1000" b="0" i="0" u="sng" baseline="0">
              <a:solidFill>
                <a:srgbClr val="000000"/>
              </a:solidFill>
              <a:latin typeface="Arial"/>
              <a:ea typeface="Arial"/>
              <a:cs typeface="Arial"/>
            </a:rPr>
            <a:t>hours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shutdowns</a:t>
          </a:r>
          <a:r>
            <a:rPr lang="en-US" cap="none" sz="1000" b="0" i="0" u="none" baseline="0">
              <a:solidFill>
                <a:srgbClr val="000000"/>
              </a:solidFill>
              <a:latin typeface="Arial"/>
              <a:ea typeface="Arial"/>
              <a:cs typeface="Arial"/>
            </a:rPr>
            <a:t> x </a:t>
          </a:r>
          <a:r>
            <a:rPr lang="en-US" cap="none" sz="1000" b="0" i="0" u="sng" baseline="0">
              <a:solidFill>
                <a:srgbClr val="000000"/>
              </a:solidFill>
              <a:latin typeface="Arial"/>
              <a:ea typeface="Arial"/>
              <a:cs typeface="Arial"/>
            </a:rPr>
            <a:t>   hours    </a:t>
          </a:r>
          <a:r>
            <a:rPr lang="en-US" cap="none" sz="1000" b="0" i="0" u="none" baseline="0">
              <a:solidFill>
                <a:srgbClr val="000000"/>
              </a:solidFill>
              <a:latin typeface="Arial"/>
              <a:ea typeface="Arial"/>
              <a:cs typeface="Arial"/>
            </a:rPr>
            <a:t>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year          year          shutdown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NO</a:t>
          </a:r>
          <a:r>
            <a:rPr lang="en-US" cap="none" sz="1100" b="0" i="0" u="none" baseline="-25000">
              <a:solidFill>
                <a:srgbClr val="000000"/>
              </a:solidFill>
              <a:latin typeface="Calibri"/>
              <a:ea typeface="Calibri"/>
              <a:cs typeface="Calibri"/>
            </a:rPr>
            <a:t>x</a:t>
          </a:r>
          <a:r>
            <a:rPr lang="en-US" cap="none" sz="1100" b="0" i="0" u="none" baseline="0">
              <a:solidFill>
                <a:srgbClr val="000000"/>
              </a:solidFill>
              <a:latin typeface="Calibri"/>
              <a:ea typeface="Calibri"/>
              <a:cs typeface="Calibri"/>
            </a:rPr>
            <a:t> and CO Uncontrolled Shutdown Emissions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 Controllable Portion of Shutdown Emissions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 Uncontrolled Shutdown Emissions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                                                                                     shutdown                                                                                    shutdown                                                                      shutdown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Annual Shutdown Emissions  </a:t>
          </a:r>
          <a:r>
            <a:rPr lang="en-US" cap="none" sz="1100" b="0" i="0" u="sng" baseline="0">
              <a:solidFill>
                <a:srgbClr val="000000"/>
              </a:solidFill>
              <a:latin typeface="Calibri"/>
              <a:ea typeface="Calibri"/>
              <a:cs typeface="Calibri"/>
            </a:rPr>
            <a:t>tons</a:t>
          </a:r>
          <a:r>
            <a:rPr lang="en-US" cap="none" sz="1100" b="0" i="0" u="none" baseline="0">
              <a:solidFill>
                <a:srgbClr val="000000"/>
              </a:solidFill>
              <a:latin typeface="Calibri"/>
              <a:ea typeface="Calibri"/>
              <a:cs typeface="Calibri"/>
            </a:rPr>
            <a:t> = Emissions for Shutdown Hour @ 59</a:t>
          </a:r>
          <a:r>
            <a:rPr lang="en-US" cap="none" sz="1100" b="0" i="0" u="none" baseline="30000">
              <a:solidFill>
                <a:srgbClr val="000000"/>
              </a:solidFill>
              <a:latin typeface="Calibri"/>
              <a:ea typeface="Calibri"/>
              <a:cs typeface="Calibri"/>
            </a:rPr>
            <a:t>o</a:t>
          </a:r>
          <a:r>
            <a:rPr lang="en-US" cap="none" sz="1100" b="0" i="0" u="none" baseline="0">
              <a:solidFill>
                <a:srgbClr val="000000"/>
              </a:solidFill>
              <a:latin typeface="Calibri"/>
              <a:ea typeface="Calibri"/>
              <a:cs typeface="Calibri"/>
            </a:rPr>
            <a:t>F   </a:t>
          </a:r>
          <a:r>
            <a:rPr lang="en-US" cap="none" sz="1100" b="0" i="0" u="sng" baseline="0">
              <a:solidFill>
                <a:srgbClr val="000000"/>
              </a:solidFill>
              <a:latin typeface="Calibri"/>
              <a:ea typeface="Calibri"/>
              <a:cs typeface="Calibri"/>
            </a:rPr>
            <a:t>       lb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shutdown s</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tons     </a:t>
          </a:r>
          <a:r>
            <a:rPr lang="en-US" cap="none" sz="1100" b="0" i="0" u="none" baseline="0">
              <a:solidFill>
                <a:srgbClr val="000000"/>
              </a:solidFill>
              <a:latin typeface="Calibri"/>
              <a:ea typeface="Calibri"/>
              <a:cs typeface="Calibri"/>
            </a:rPr>
            <a:t> </a:t>
          </a:r>
          <a:r>
            <a:rPr lang="en-US" cap="none" sz="1100" b="0" i="0" u="none" baseline="0">
              <a:solidFill>
                <a:srgbClr val="FFFFFF"/>
              </a:solidFill>
              <a:latin typeface="Calibri"/>
              <a:ea typeface="Calibri"/>
              <a:cs typeface="Calibri"/>
            </a:rPr>
            <a:t>.</a:t>
          </a:r>
          <a:r>
            <a:rPr lang="en-US" cap="none" sz="1000" b="0" i="0" u="none" baseline="0">
              <a:solidFill>
                <a:srgbClr val="FFFFFF"/>
              </a:solidFill>
              <a:latin typeface="Calibri"/>
              <a:ea typeface="Calibri"/>
              <a:cs typeface="Calibri"/>
            </a:rPr>
            <a:t>
</a:t>
          </a:r>
          <a:r>
            <a:rPr lang="en-US" cap="none" sz="1100" b="0" i="0" u="none" baseline="0">
              <a:solidFill>
                <a:srgbClr val="000000"/>
              </a:solidFill>
              <a:latin typeface="Calibri"/>
              <a:ea typeface="Calibri"/>
              <a:cs typeface="Calibri"/>
            </a:rPr>
            <a:t>                                                     year                                                                          shutdown           year             2000 lbs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Emissions from an hour with normal operations followed by a shutdown event =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controlled normal operation x portion of hour normal operation) + lbs uncontrolled from shutdown 
</a:t>
          </a:r>
          <a:r>
            <a:rPr lang="en-US" cap="none" sz="1000" b="0" i="0" u="none" baseline="0">
              <a:solidFill>
                <a:srgbClr val="000000"/>
              </a:solidFill>
              <a:latin typeface="Arial"/>
              <a:ea typeface="Arial"/>
              <a:cs typeface="Arial"/>
            </a:rPr>
            <a:t>                                                                                                                                 hour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lb  </a:t>
          </a:r>
          <a:r>
            <a:rPr lang="en-US" cap="none" sz="1000" b="0" i="0" u="none" baseline="0">
              <a:solidFill>
                <a:srgbClr val="000000"/>
              </a:solidFill>
              <a:latin typeface="Arial"/>
              <a:ea typeface="Arial"/>
              <a:cs typeface="Arial"/>
            </a:rPr>
            <a:t> controlled normal operation x (1 - portion of hour in shutdown)) + lbs uncontrolled from shutdown
</a:t>
          </a:r>
          <a:r>
            <a:rPr lang="en-US" cap="none" sz="1000" b="0" i="0" u="none" baseline="0">
              <a:solidFill>
                <a:srgbClr val="000000"/>
              </a:solidFill>
              <a:latin typeface="Arial"/>
              <a:ea typeface="Arial"/>
              <a:cs typeface="Arial"/>
            </a:rPr>
            <a:t>    hour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Maximum hourly emissions for startup are from "Turbine Startup Emissions" spreadsheet
</a:t>
          </a:r>
          <a:r>
            <a:rPr lang="en-US" cap="none" sz="1000" b="0" i="0" u="none" baseline="0">
              <a:solidFill>
                <a:srgbClr val="000000"/>
              </a:solidFill>
              <a:latin typeface="Arial"/>
              <a:ea typeface="Arial"/>
              <a:cs typeface="Arial"/>
            </a:rPr>
            <a:t>Maximum hourly emissions for normal operation are from "Turbine and Duct Burner Hourly" spreadsheet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31</xdr:row>
      <xdr:rowOff>142875</xdr:rowOff>
    </xdr:from>
    <xdr:to>
      <xdr:col>4</xdr:col>
      <xdr:colOff>590550</xdr:colOff>
      <xdr:row>42</xdr:row>
      <xdr:rowOff>9525</xdr:rowOff>
    </xdr:to>
    <xdr:sp>
      <xdr:nvSpPr>
        <xdr:cNvPr id="1" name="TextBox 1"/>
        <xdr:cNvSpPr txBox="1">
          <a:spLocks noChangeArrowheads="1"/>
        </xdr:cNvSpPr>
      </xdr:nvSpPr>
      <xdr:spPr>
        <a:xfrm>
          <a:off x="76200" y="5772150"/>
          <a:ext cx="6172200"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gigaJoules</a:t>
          </a:r>
          <a:r>
            <a:rPr lang="en-US" cap="none" sz="1100" b="0" i="0" u="none" baseline="0">
              <a:solidFill>
                <a:srgbClr val="000000"/>
              </a:solidFill>
              <a:latin typeface="Calibri"/>
              <a:ea typeface="Calibri"/>
              <a:cs typeface="Calibri"/>
            </a:rPr>
            <a:t> = </a:t>
          </a:r>
          <a:r>
            <a:rPr lang="en-US" cap="none" sz="1100" b="0" i="0" u="sng" baseline="0">
              <a:solidFill>
                <a:srgbClr val="000000"/>
              </a:solidFill>
              <a:latin typeface="Calibri"/>
              <a:ea typeface="Calibri"/>
              <a:cs typeface="Calibri"/>
            </a:rPr>
            <a:t>mmBtu</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10</a:t>
          </a:r>
          <a:r>
            <a:rPr lang="en-US" cap="none" sz="1100" b="0" i="0" u="sng" baseline="30000">
              <a:solidFill>
                <a:srgbClr val="000000"/>
              </a:solidFill>
              <a:latin typeface="Calibri"/>
              <a:ea typeface="Calibri"/>
              <a:cs typeface="Calibri"/>
            </a:rPr>
            <a:t>6</a:t>
          </a:r>
          <a:r>
            <a:rPr lang="en-US" cap="none" sz="1100" b="0" i="0" u="sng" baseline="0">
              <a:solidFill>
                <a:srgbClr val="000000"/>
              </a:solidFill>
              <a:latin typeface="Calibri"/>
              <a:ea typeface="Calibri"/>
              <a:cs typeface="Calibri"/>
            </a:rPr>
            <a:t> Btu</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    1054.8 Joule      </a:t>
          </a:r>
          <a:r>
            <a:rPr lang="en-US" cap="none" sz="1100" b="0" i="0" u="none" baseline="0">
              <a:solidFill>
                <a:srgbClr val="000000"/>
              </a:solidFill>
              <a:latin typeface="Calibri"/>
              <a:ea typeface="Calibri"/>
              <a:cs typeface="Calibri"/>
            </a:rPr>
            <a:t> x  </a:t>
          </a:r>
          <a:r>
            <a:rPr lang="en-US" cap="none" sz="1100" b="0" i="0" u="sng" baseline="0">
              <a:solidFill>
                <a:srgbClr val="000000"/>
              </a:solidFill>
              <a:latin typeface="Calibri"/>
              <a:ea typeface="Calibri"/>
              <a:cs typeface="Calibri"/>
            </a:rPr>
            <a:t>gigaJoule
</a:t>
          </a:r>
          <a:r>
            <a:rPr lang="en-US" cap="none" sz="1100" b="0" i="0" u="none" baseline="0">
              <a:solidFill>
                <a:srgbClr val="000000"/>
              </a:solidFill>
              <a:latin typeface="Calibri"/>
              <a:ea typeface="Calibri"/>
              <a:cs typeface="Calibri"/>
            </a:rPr>
            <a:t>       hour          hour       mmBtu               Btu                    10</a:t>
          </a:r>
          <a:r>
            <a:rPr lang="en-US" cap="none" sz="1100" b="0" i="0" u="none" baseline="30000">
              <a:solidFill>
                <a:srgbClr val="000000"/>
              </a:solidFill>
              <a:latin typeface="Calibri"/>
              <a:ea typeface="Calibri"/>
              <a:cs typeface="Calibri"/>
            </a:rPr>
            <a:t>9</a:t>
          </a:r>
          <a:r>
            <a:rPr lang="en-US" cap="none" sz="1100" b="0" i="0" u="none" baseline="0">
              <a:solidFill>
                <a:srgbClr val="000000"/>
              </a:solidFill>
              <a:latin typeface="Calibri"/>
              <a:ea typeface="Calibri"/>
              <a:cs typeface="Calibri"/>
            </a:rPr>
            <a:t> Joule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Turbine Annual Heat Input  </a:t>
          </a:r>
          <a:r>
            <a:rPr lang="en-US" cap="none" sz="1100" b="0" i="0" u="sng" baseline="0">
              <a:solidFill>
                <a:srgbClr val="000000"/>
              </a:solidFill>
              <a:latin typeface="Calibri"/>
              <a:ea typeface="Calibri"/>
              <a:cs typeface="Calibri"/>
            </a:rPr>
            <a:t>mmBtu</a:t>
          </a:r>
          <a:r>
            <a:rPr lang="en-US" cap="none" sz="1100" b="0" i="0" u="none" baseline="0">
              <a:solidFill>
                <a:srgbClr val="000000"/>
              </a:solidFill>
              <a:latin typeface="Calibri"/>
              <a:ea typeface="Calibri"/>
              <a:cs typeface="Calibri"/>
            </a:rPr>
            <a:t> = Maximum Heat Input </a:t>
          </a:r>
          <a:r>
            <a:rPr lang="en-US" cap="none" sz="1100" b="0" i="0" u="sng" baseline="0">
              <a:solidFill>
                <a:srgbClr val="000000"/>
              </a:solidFill>
              <a:latin typeface="Calibri"/>
              <a:ea typeface="Calibri"/>
              <a:cs typeface="Calibri"/>
            </a:rPr>
            <a:t>mmBtu</a:t>
          </a:r>
          <a:r>
            <a:rPr lang="en-US" cap="none" sz="1100" b="0" i="0" u="none" baseline="0">
              <a:solidFill>
                <a:srgbClr val="000000"/>
              </a:solidFill>
              <a:latin typeface="Calibri"/>
              <a:ea typeface="Calibri"/>
              <a:cs typeface="Calibri"/>
            </a:rPr>
            <a:t> (HHV) x 8760 </a:t>
          </a:r>
          <a:r>
            <a:rPr lang="en-US" cap="none" sz="1100" b="0" i="0" u="sng" baseline="0">
              <a:solidFill>
                <a:srgbClr val="000000"/>
              </a:solidFill>
              <a:latin typeface="Calibri"/>
              <a:ea typeface="Calibri"/>
              <a:cs typeface="Calibri"/>
            </a:rPr>
            <a:t>hours</a:t>
          </a:r>
          <a:r>
            <a:rPr lang="en-US" cap="none" sz="1100" b="0" i="0" u="none" baseline="0">
              <a:solidFill>
                <a:srgbClr val="000000"/>
              </a:solidFill>
              <a:latin typeface="Calibri"/>
              <a:ea typeface="Calibri"/>
              <a:cs typeface="Calibri"/>
            </a:rPr>
            <a:t> x Capacity Factor
</a:t>
          </a:r>
          <a:r>
            <a:rPr lang="en-US" cap="none" sz="1100" b="0" i="0" u="none" baseline="0">
              <a:solidFill>
                <a:srgbClr val="000000"/>
              </a:solidFill>
              <a:latin typeface="Calibri"/>
              <a:ea typeface="Calibri"/>
              <a:cs typeface="Calibri"/>
            </a:rPr>
            <a:t>                                                    year                                                 hour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Duct Burner Annual Heat Input  </a:t>
          </a:r>
          <a:r>
            <a:rPr lang="en-US" cap="none" sz="1100" b="0" i="0" u="sng" baseline="0">
              <a:solidFill>
                <a:srgbClr val="000000"/>
              </a:solidFill>
              <a:latin typeface="Calibri"/>
              <a:ea typeface="Calibri"/>
              <a:cs typeface="Calibri"/>
            </a:rPr>
            <a:t>mmBtu</a:t>
          </a:r>
          <a:r>
            <a:rPr lang="en-US" cap="none" sz="1100" b="0" i="0" u="none" baseline="0">
              <a:solidFill>
                <a:srgbClr val="000000"/>
              </a:solidFill>
              <a:latin typeface="Calibri"/>
              <a:ea typeface="Calibri"/>
              <a:cs typeface="Calibri"/>
            </a:rPr>
            <a:t> = Heat Input </a:t>
          </a:r>
          <a:r>
            <a:rPr lang="en-US" cap="none" sz="1100" b="0" i="0" u="sng" baseline="0">
              <a:solidFill>
                <a:srgbClr val="000000"/>
              </a:solidFill>
              <a:latin typeface="Calibri"/>
              <a:ea typeface="Calibri"/>
              <a:cs typeface="Calibri"/>
            </a:rPr>
            <a:t> mmBtu</a:t>
          </a:r>
          <a:r>
            <a:rPr lang="en-US" cap="none" sz="1100" b="0" i="0" u="none" baseline="0">
              <a:solidFill>
                <a:srgbClr val="000000"/>
              </a:solidFill>
              <a:latin typeface="Calibri"/>
              <a:ea typeface="Calibri"/>
              <a:cs typeface="Calibri"/>
            </a:rPr>
            <a:t> x</a:t>
          </a:r>
          <a:r>
            <a:rPr lang="en-US" cap="none" sz="1100" b="0" i="0" u="sng" baseline="0">
              <a:solidFill>
                <a:srgbClr val="000000"/>
              </a:solidFill>
              <a:latin typeface="Calibri"/>
              <a:ea typeface="Calibri"/>
              <a:cs typeface="Calibri"/>
            </a:rPr>
            <a:t> hours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year                                hour       year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2">
      <selection activeCell="B16" sqref="B16"/>
    </sheetView>
  </sheetViews>
  <sheetFormatPr defaultColWidth="11.421875" defaultRowHeight="12.75"/>
  <cols>
    <col min="1" max="1" width="33.140625" style="0" customWidth="1"/>
    <col min="2" max="2" width="71.421875" style="0" customWidth="1"/>
    <col min="3" max="5" width="11.421875" style="0" customWidth="1"/>
    <col min="6" max="6" width="5.28125" style="0" customWidth="1"/>
    <col min="7" max="7" width="11.421875" style="0" hidden="1" customWidth="1"/>
  </cols>
  <sheetData>
    <row r="1" spans="1:7" ht="59.25" customHeight="1">
      <c r="A1" s="646" t="s">
        <v>542</v>
      </c>
      <c r="B1" s="646"/>
      <c r="C1" s="389"/>
      <c r="D1" s="389"/>
      <c r="E1" s="389"/>
      <c r="F1" s="389"/>
      <c r="G1" s="389"/>
    </row>
    <row r="2" spans="1:7" ht="12.75">
      <c r="A2" s="16" t="s">
        <v>450</v>
      </c>
      <c r="B2" s="16"/>
      <c r="C2" s="16"/>
      <c r="D2" s="16"/>
      <c r="E2" s="16"/>
      <c r="F2" s="16"/>
      <c r="G2" s="16"/>
    </row>
    <row r="3" spans="1:2" ht="9" customHeight="1">
      <c r="A3" s="16"/>
      <c r="B3" s="16"/>
    </row>
    <row r="4" spans="1:8" ht="16.5" customHeight="1">
      <c r="A4" s="517" t="s">
        <v>553</v>
      </c>
      <c r="B4" s="388" t="s">
        <v>552</v>
      </c>
      <c r="C4" s="28"/>
      <c r="D4" s="28"/>
      <c r="E4" s="28"/>
      <c r="F4" s="28"/>
      <c r="G4" s="28"/>
      <c r="H4" s="28"/>
    </row>
    <row r="5" spans="1:8" ht="16.5" customHeight="1">
      <c r="A5" s="387" t="s">
        <v>451</v>
      </c>
      <c r="B5" s="388" t="s">
        <v>433</v>
      </c>
      <c r="C5" s="28"/>
      <c r="D5" s="28"/>
      <c r="E5" s="28"/>
      <c r="F5" s="28"/>
      <c r="G5" s="28"/>
      <c r="H5" s="28"/>
    </row>
    <row r="6" spans="1:8" ht="16.5" customHeight="1">
      <c r="A6" s="387" t="s">
        <v>452</v>
      </c>
      <c r="B6" s="388" t="s">
        <v>434</v>
      </c>
      <c r="C6" s="28"/>
      <c r="D6" s="28"/>
      <c r="E6" s="28"/>
      <c r="F6" s="28"/>
      <c r="G6" s="28"/>
      <c r="H6" s="28"/>
    </row>
    <row r="7" spans="1:8" ht="16.5" customHeight="1">
      <c r="A7" s="387" t="s">
        <v>453</v>
      </c>
      <c r="B7" s="388"/>
      <c r="C7" s="28"/>
      <c r="D7" s="28"/>
      <c r="E7" s="28"/>
      <c r="F7" s="28"/>
      <c r="G7" s="28"/>
      <c r="H7" s="28"/>
    </row>
    <row r="8" spans="1:8" ht="16.5" customHeight="1">
      <c r="A8" s="387" t="s">
        <v>456</v>
      </c>
      <c r="B8" s="388"/>
      <c r="C8" s="28"/>
      <c r="D8" s="28"/>
      <c r="E8" s="28"/>
      <c r="F8" s="28"/>
      <c r="G8" s="28"/>
      <c r="H8" s="28"/>
    </row>
    <row r="9" spans="1:8" ht="16.5" customHeight="1">
      <c r="A9" s="387" t="s">
        <v>454</v>
      </c>
      <c r="B9" s="388" t="s">
        <v>467</v>
      </c>
      <c r="C9" s="28"/>
      <c r="D9" s="28"/>
      <c r="E9" s="28"/>
      <c r="F9" s="28"/>
      <c r="G9" s="28"/>
      <c r="H9" s="28"/>
    </row>
    <row r="10" spans="1:8" ht="16.5" customHeight="1">
      <c r="A10" s="387" t="s">
        <v>455</v>
      </c>
      <c r="B10" s="388"/>
      <c r="C10" s="28"/>
      <c r="D10" s="28"/>
      <c r="E10" s="28"/>
      <c r="F10" s="28"/>
      <c r="G10" s="28"/>
      <c r="H10" s="28"/>
    </row>
    <row r="11" spans="1:8" ht="16.5" customHeight="1">
      <c r="A11" s="387" t="s">
        <v>459</v>
      </c>
      <c r="B11" s="388" t="s">
        <v>2</v>
      </c>
      <c r="C11" s="28"/>
      <c r="D11" s="28"/>
      <c r="E11" s="28"/>
      <c r="F11" s="28"/>
      <c r="G11" s="28"/>
      <c r="H11" s="28"/>
    </row>
    <row r="12" spans="1:8" ht="16.5" customHeight="1">
      <c r="A12" s="387" t="s">
        <v>437</v>
      </c>
      <c r="B12" s="388" t="s">
        <v>460</v>
      </c>
      <c r="C12" s="28"/>
      <c r="D12" s="28"/>
      <c r="E12" s="28"/>
      <c r="F12" s="28"/>
      <c r="G12" s="28"/>
      <c r="H12" s="28"/>
    </row>
    <row r="13" spans="1:8" ht="16.5" customHeight="1">
      <c r="A13" s="387" t="s">
        <v>457</v>
      </c>
      <c r="B13" s="388"/>
      <c r="C13" s="28"/>
      <c r="D13" s="28"/>
      <c r="E13" s="28"/>
      <c r="F13" s="28"/>
      <c r="G13" s="28"/>
      <c r="H13" s="28"/>
    </row>
    <row r="14" spans="1:8" ht="16.5" customHeight="1">
      <c r="A14" s="387" t="s">
        <v>458</v>
      </c>
      <c r="B14" s="388"/>
      <c r="C14" s="28"/>
      <c r="D14" s="28"/>
      <c r="E14" s="28"/>
      <c r="F14" s="28"/>
      <c r="G14" s="28"/>
      <c r="H14" s="28"/>
    </row>
    <row r="15" spans="1:8" ht="16.5" customHeight="1">
      <c r="A15" s="387" t="s">
        <v>3</v>
      </c>
      <c r="B15" s="388"/>
      <c r="C15" s="28"/>
      <c r="D15" s="28"/>
      <c r="E15" s="28"/>
      <c r="F15" s="28"/>
      <c r="G15" s="28"/>
      <c r="H15" s="28"/>
    </row>
    <row r="16" spans="1:8" ht="16.5" customHeight="1">
      <c r="A16" s="387" t="s">
        <v>438</v>
      </c>
      <c r="B16" s="388" t="s">
        <v>461</v>
      </c>
      <c r="C16" s="28"/>
      <c r="D16" s="28"/>
      <c r="E16" s="28"/>
      <c r="F16" s="28"/>
      <c r="G16" s="28"/>
      <c r="H16" s="28"/>
    </row>
    <row r="17" spans="1:8" ht="16.5" customHeight="1">
      <c r="A17" s="387" t="s">
        <v>439</v>
      </c>
      <c r="B17" s="388" t="s">
        <v>461</v>
      </c>
      <c r="C17" s="28"/>
      <c r="D17" s="28"/>
      <c r="E17" s="28"/>
      <c r="F17" s="28"/>
      <c r="G17" s="28"/>
      <c r="H17" s="28"/>
    </row>
    <row r="18" spans="1:8" ht="16.5" customHeight="1">
      <c r="A18" s="387" t="s">
        <v>436</v>
      </c>
      <c r="B18" s="388" t="s">
        <v>462</v>
      </c>
      <c r="C18" s="28"/>
      <c r="D18" s="28"/>
      <c r="E18" s="28"/>
      <c r="F18" s="28"/>
      <c r="G18" s="28"/>
      <c r="H18" s="28"/>
    </row>
    <row r="19" spans="1:8" ht="16.5" customHeight="1">
      <c r="A19" s="387" t="s">
        <v>435</v>
      </c>
      <c r="B19" s="388" t="s">
        <v>463</v>
      </c>
      <c r="C19" s="28"/>
      <c r="D19" s="28"/>
      <c r="E19" s="28"/>
      <c r="F19" s="28"/>
      <c r="G19" s="28"/>
      <c r="H19" s="28"/>
    </row>
    <row r="20" spans="1:8" ht="16.5" customHeight="1">
      <c r="A20" s="387" t="s">
        <v>440</v>
      </c>
      <c r="B20" s="388" t="s">
        <v>463</v>
      </c>
      <c r="C20" s="28"/>
      <c r="D20" s="28"/>
      <c r="E20" s="28"/>
      <c r="F20" s="28"/>
      <c r="G20" s="28"/>
      <c r="H20" s="28"/>
    </row>
    <row r="21" spans="1:8" ht="16.5" customHeight="1">
      <c r="A21" s="387" t="s">
        <v>441</v>
      </c>
      <c r="B21" s="388" t="s">
        <v>464</v>
      </c>
      <c r="C21" s="28"/>
      <c r="D21" s="28"/>
      <c r="E21" s="28"/>
      <c r="F21" s="28"/>
      <c r="G21" s="28"/>
      <c r="H21" s="28"/>
    </row>
    <row r="22" spans="1:8" ht="16.5" customHeight="1">
      <c r="A22" s="387" t="s">
        <v>442</v>
      </c>
      <c r="B22" s="51"/>
      <c r="C22" s="5"/>
      <c r="D22" s="5"/>
      <c r="E22" s="5"/>
      <c r="F22" s="5"/>
      <c r="G22" s="5"/>
      <c r="H22" s="5"/>
    </row>
    <row r="23" spans="1:8" ht="16.5" customHeight="1">
      <c r="A23" s="387" t="s">
        <v>443</v>
      </c>
      <c r="B23" s="388"/>
      <c r="C23" s="28"/>
      <c r="D23" s="28"/>
      <c r="E23" s="28"/>
      <c r="F23" s="28"/>
      <c r="G23" s="28"/>
      <c r="H23" s="28"/>
    </row>
    <row r="24" spans="1:8" ht="16.5" customHeight="1">
      <c r="A24" s="387" t="s">
        <v>481</v>
      </c>
      <c r="B24" s="388" t="s">
        <v>449</v>
      </c>
      <c r="C24" s="28"/>
      <c r="D24" s="28"/>
      <c r="E24" s="28"/>
      <c r="F24" s="28"/>
      <c r="G24" s="28"/>
      <c r="H24" s="28"/>
    </row>
    <row r="25" spans="1:8" ht="16.5" customHeight="1">
      <c r="A25" s="387" t="s">
        <v>444</v>
      </c>
      <c r="B25" s="388"/>
      <c r="C25" s="28"/>
      <c r="D25" s="28"/>
      <c r="E25" s="28"/>
      <c r="F25" s="28"/>
      <c r="G25" s="28"/>
      <c r="H25" s="28"/>
    </row>
    <row r="26" spans="1:8" ht="16.5" customHeight="1">
      <c r="A26" s="387" t="s">
        <v>445</v>
      </c>
      <c r="B26" s="388"/>
      <c r="C26" s="28"/>
      <c r="D26" s="28"/>
      <c r="E26" s="28"/>
      <c r="F26" s="28"/>
      <c r="G26" s="28"/>
      <c r="H26" s="28"/>
    </row>
    <row r="27" spans="1:8" ht="16.5" customHeight="1">
      <c r="A27" s="387" t="s">
        <v>446</v>
      </c>
      <c r="B27" s="388" t="s">
        <v>465</v>
      </c>
      <c r="C27" s="28"/>
      <c r="D27" s="28"/>
      <c r="E27" s="28"/>
      <c r="F27" s="28"/>
      <c r="G27" s="28"/>
      <c r="H27" s="28"/>
    </row>
    <row r="28" spans="1:8" ht="16.5" customHeight="1">
      <c r="A28" s="387" t="s">
        <v>447</v>
      </c>
      <c r="B28" s="388" t="s">
        <v>466</v>
      </c>
      <c r="C28" s="28"/>
      <c r="D28" s="28"/>
      <c r="E28" s="28"/>
      <c r="F28" s="28"/>
      <c r="G28" s="28"/>
      <c r="H28" s="28"/>
    </row>
    <row r="29" spans="1:8" ht="16.5" customHeight="1">
      <c r="A29" s="387" t="s">
        <v>480</v>
      </c>
      <c r="B29" s="388" t="s">
        <v>448</v>
      </c>
      <c r="C29" s="28"/>
      <c r="D29" s="28"/>
      <c r="E29" s="28"/>
      <c r="F29" s="28"/>
      <c r="G29" s="28"/>
      <c r="H29" s="28"/>
    </row>
    <row r="32" spans="8:14" ht="12.75">
      <c r="H32" s="385"/>
      <c r="I32" s="385"/>
      <c r="J32" s="385"/>
      <c r="K32" s="385"/>
      <c r="L32" s="385"/>
      <c r="M32" s="385"/>
      <c r="N32" s="385"/>
    </row>
    <row r="34" spans="8:14" ht="12.75">
      <c r="H34" s="385"/>
      <c r="I34" s="385"/>
      <c r="J34" s="385"/>
      <c r="K34" s="385"/>
      <c r="L34" s="385"/>
      <c r="M34" s="385"/>
      <c r="N34" s="385"/>
    </row>
    <row r="36" spans="8:14" ht="12.75">
      <c r="H36" s="385"/>
      <c r="I36" s="385"/>
      <c r="J36" s="385"/>
      <c r="K36" s="385"/>
      <c r="L36" s="385"/>
      <c r="M36" s="385"/>
      <c r="N36" s="385"/>
    </row>
    <row r="38" spans="8:14" ht="12.75">
      <c r="H38" s="385"/>
      <c r="I38" s="385"/>
      <c r="J38" s="385"/>
      <c r="K38" s="385"/>
      <c r="L38" s="385"/>
      <c r="M38" s="385"/>
      <c r="N38" s="385"/>
    </row>
    <row r="40" spans="8:14" ht="12.75">
      <c r="H40" s="385"/>
      <c r="I40" s="385"/>
      <c r="J40" s="385"/>
      <c r="K40" s="385"/>
      <c r="L40" s="385"/>
      <c r="M40" s="385"/>
      <c r="N40" s="385"/>
    </row>
    <row r="42" spans="8:14" ht="12.75">
      <c r="H42" s="385"/>
      <c r="I42" s="385"/>
      <c r="J42" s="385"/>
      <c r="K42" s="385"/>
      <c r="L42" s="385"/>
      <c r="M42" s="385"/>
      <c r="N42" s="385"/>
    </row>
    <row r="43" spans="8:14" ht="12.75">
      <c r="H43" s="385"/>
      <c r="I43" s="385"/>
      <c r="J43" s="385"/>
      <c r="K43" s="385"/>
      <c r="L43" s="385"/>
      <c r="M43" s="385"/>
      <c r="N43" s="385"/>
    </row>
    <row r="44" spans="8:14" ht="12.75">
      <c r="H44" s="385"/>
      <c r="I44" s="385"/>
      <c r="J44" s="385"/>
      <c r="K44" s="385"/>
      <c r="L44" s="385"/>
      <c r="M44" s="385"/>
      <c r="N44" s="385"/>
    </row>
    <row r="45" spans="8:14" ht="12.75">
      <c r="H45" s="385"/>
      <c r="I45" s="385"/>
      <c r="J45" s="385"/>
      <c r="K45" s="385"/>
      <c r="L45" s="385"/>
      <c r="M45" s="385"/>
      <c r="N45" s="385"/>
    </row>
    <row r="46" spans="8:14" ht="12.75">
      <c r="H46" s="385"/>
      <c r="I46" s="385"/>
      <c r="J46" s="385"/>
      <c r="K46" s="385"/>
      <c r="L46" s="385"/>
      <c r="M46" s="385"/>
      <c r="N46" s="385"/>
    </row>
    <row r="47" spans="8:14" ht="12.75">
      <c r="H47" s="385"/>
      <c r="I47" s="385"/>
      <c r="J47" s="385"/>
      <c r="K47" s="385"/>
      <c r="L47" s="385"/>
      <c r="M47" s="385"/>
      <c r="N47" s="385"/>
    </row>
    <row r="48" spans="8:14" ht="12.75">
      <c r="H48" s="385"/>
      <c r="I48" s="385"/>
      <c r="J48" s="385"/>
      <c r="K48" s="385"/>
      <c r="L48" s="385"/>
      <c r="M48" s="385"/>
      <c r="N48" s="385"/>
    </row>
    <row r="49" spans="8:14" ht="12.75">
      <c r="H49" s="385"/>
      <c r="I49" s="385"/>
      <c r="J49" s="385"/>
      <c r="K49" s="385"/>
      <c r="L49" s="385"/>
      <c r="M49" s="385"/>
      <c r="N49" s="385"/>
    </row>
    <row r="50" spans="8:14" ht="12.75">
      <c r="H50" s="385"/>
      <c r="I50" s="385"/>
      <c r="J50" s="385"/>
      <c r="K50" s="385"/>
      <c r="L50" s="385"/>
      <c r="M50" s="385"/>
      <c r="N50" s="385"/>
    </row>
  </sheetData>
  <sheetProtection/>
  <mergeCells count="1">
    <mergeCell ref="A1:B1"/>
  </mergeCells>
  <hyperlinks>
    <hyperlink ref="A5" location="'Bowie Sources'!A1" display="Bowie Sources"/>
    <hyperlink ref="A6" location="'Emission Factor List'!A1" display="Emission Factor List"/>
    <hyperlink ref="A7" location="'Annual Project Total Emissions'!A1" display="Annual Project Total Emissions"/>
    <hyperlink ref="A9" location="'One Hour Emission Crit Summary'!A1" display="One Hour Emission Crit Summary"/>
    <hyperlink ref="A10" location="' Annual HAP Summary'!A1" display="Annual HAP Summary"/>
    <hyperlink ref="A8" location="'Ann Crit Emiss Summar-uncontrol'!A1" display="Ann Crit Emiss Summar-uncontrol"/>
    <hyperlink ref="A13" location="'Turbine Startup Emissions'!A1" display="Turbine Startup Emissions"/>
    <hyperlink ref="A14" location="'Turbine Shutdown Emissions'!A1" display="Turbine Shutdown Emissions"/>
    <hyperlink ref="A11" location="'Turbine and Duct Burner Hourly'!A1" display="Turbine and Duct Burner Hourly"/>
    <hyperlink ref="A12" location="'Turbine and Duct Burner Annual'!A1" display="Turbine and Duct Burner Annual"/>
    <hyperlink ref="A16" location="'Turbine HAP Emissions'!A1" display="Turbine HAP Emissions"/>
    <hyperlink ref="A17" location="'Duct Burner HAP Emissions'!A1" display="Duct Burner HAP Emissions"/>
    <hyperlink ref="A18" location="'Turbine+Duct Burner HAPs'!A1" display="Turbine+Duct Burner HAPs"/>
    <hyperlink ref="A19" location="'Aux Boiler Emissions'!A1" display="Aux Boiler Emissions"/>
    <hyperlink ref="A20" location="'Emergency Fire Pump Emissions'!A1" display="Emergency Fire Pump Emissions"/>
    <hyperlink ref="A21" location="'Cooling Tower'!A1" display="Cooling Tower"/>
    <hyperlink ref="A22" location="'Cooling Tower HAPs'!A1" display="Cooling Tower HAPs"/>
    <hyperlink ref="A23" location="'Evaporation Pond Emissions'!A1" display="Evaporation Pond Emissions"/>
    <hyperlink ref="A25" location="'Modeling Data Summary'!A1" display="Modeling Data Summary"/>
    <hyperlink ref="A26" location="'Modeling - Screening Parameters'!A1" display="Modeling - Screening Parameters"/>
    <hyperlink ref="A27" location="'Turbine+Duct Burner stack info'!A1" display="Turbine+Duct Burner Stack Info"/>
    <hyperlink ref="A28" location="'Turbine Stack Data Weighted Ave'!A1" display="Turbine Stack Data Weighted Ave"/>
    <hyperlink ref="A29" location="'24-hour Crit Emissions Summary'!A1" display="24-hour Crit Emissions Summary"/>
    <hyperlink ref="A24" location="'GHG Emissions'!A1" display="GHG Emissions"/>
    <hyperlink ref="A15" location="'Turbine and DB Heat Input'!A1" display="Turbine and DB Heat Input"/>
    <hyperlink ref="A4" location="'Data Tracking'!A1" display="Data Tracking"/>
  </hyperlinks>
  <printOptions horizontalCentered="1"/>
  <pageMargins left="0.75" right="0.75" top="1" bottom="1" header="0.5" footer="0.5"/>
  <pageSetup fitToHeight="1" fitToWidth="1" orientation="landscape" scale="94" r:id="rId1"/>
</worksheet>
</file>

<file path=xl/worksheets/sheet10.xml><?xml version="1.0" encoding="utf-8"?>
<worksheet xmlns="http://schemas.openxmlformats.org/spreadsheetml/2006/main" xmlns:r="http://schemas.openxmlformats.org/officeDocument/2006/relationships">
  <dimension ref="A1:Q33"/>
  <sheetViews>
    <sheetView zoomScaleSheetLayoutView="100" zoomScalePageLayoutView="0" workbookViewId="0" topLeftCell="A1">
      <selection activeCell="A5" sqref="A5"/>
    </sheetView>
  </sheetViews>
  <sheetFormatPr defaultColWidth="11.421875" defaultRowHeight="12.75"/>
  <cols>
    <col min="1" max="1" width="33.140625" style="5" customWidth="1"/>
    <col min="2" max="2" width="11.421875" style="5" customWidth="1"/>
    <col min="3" max="3" width="10.421875" style="5" customWidth="1"/>
    <col min="4" max="4" width="11.421875" style="5" customWidth="1"/>
    <col min="5" max="5" width="13.28125" style="5" customWidth="1"/>
    <col min="6" max="10" width="11.421875" style="5" customWidth="1"/>
    <col min="11" max="11" width="9.421875" style="5" customWidth="1"/>
    <col min="12" max="16384" width="11.421875" style="5" customWidth="1"/>
  </cols>
  <sheetData>
    <row r="1" spans="1:11" ht="34.5" customHeight="1">
      <c r="A1" s="660" t="s">
        <v>345</v>
      </c>
      <c r="B1" s="671"/>
      <c r="C1" s="671"/>
      <c r="D1" s="671"/>
      <c r="E1" s="671"/>
      <c r="F1" s="671"/>
      <c r="G1" s="671"/>
      <c r="H1" s="671"/>
      <c r="I1" s="671"/>
      <c r="J1" s="671"/>
      <c r="K1" s="671"/>
    </row>
    <row r="2" spans="1:11" ht="15.75">
      <c r="A2" s="126"/>
      <c r="B2" s="34"/>
      <c r="C2" s="34"/>
      <c r="D2" s="34"/>
      <c r="E2" s="34"/>
      <c r="F2" s="34"/>
      <c r="G2" s="34"/>
      <c r="H2" s="34"/>
      <c r="I2" s="34"/>
      <c r="J2" s="34"/>
      <c r="K2" s="34"/>
    </row>
    <row r="3" spans="1:5" ht="12.75">
      <c r="A3" s="335"/>
      <c r="B3" s="335"/>
      <c r="C3" s="335"/>
      <c r="D3" s="335"/>
      <c r="E3" s="34"/>
    </row>
    <row r="4" spans="1:5" ht="38.25">
      <c r="A4" s="327"/>
      <c r="B4" s="330" t="s">
        <v>255</v>
      </c>
      <c r="C4" s="330" t="s">
        <v>594</v>
      </c>
      <c r="D4" s="330" t="s">
        <v>254</v>
      </c>
      <c r="E4" s="327"/>
    </row>
    <row r="5" spans="1:5" ht="12.75">
      <c r="A5" s="333" t="s">
        <v>591</v>
      </c>
      <c r="B5" s="333">
        <v>80</v>
      </c>
      <c r="C5" s="333">
        <v>30</v>
      </c>
      <c r="D5" s="333">
        <f>C5/60</f>
        <v>0.5</v>
      </c>
      <c r="E5" s="334"/>
    </row>
    <row r="6" spans="1:5" ht="12.75">
      <c r="A6" s="333" t="s">
        <v>592</v>
      </c>
      <c r="B6" s="333">
        <v>220</v>
      </c>
      <c r="C6" s="333">
        <v>60</v>
      </c>
      <c r="D6" s="326">
        <f>C6/60</f>
        <v>1</v>
      </c>
      <c r="E6" s="327"/>
    </row>
    <row r="7" spans="1:5" ht="12.75">
      <c r="A7" s="333" t="s">
        <v>593</v>
      </c>
      <c r="B7" s="333">
        <v>65</v>
      </c>
      <c r="C7" s="333">
        <v>60</v>
      </c>
      <c r="D7" s="326">
        <f>C7/60</f>
        <v>1</v>
      </c>
      <c r="E7" s="327"/>
    </row>
    <row r="8" spans="1:4" ht="12.75">
      <c r="A8" s="337"/>
      <c r="B8" s="337"/>
      <c r="C8" s="338"/>
      <c r="D8" s="327"/>
    </row>
    <row r="9" spans="1:4" ht="12.75">
      <c r="A9" s="331" t="s">
        <v>409</v>
      </c>
      <c r="B9" s="326">
        <f>(B5*D5)+(B6*D6)+(B7*D7)</f>
        <v>325</v>
      </c>
      <c r="C9" s="331" t="s">
        <v>37</v>
      </c>
      <c r="D9" s="327"/>
    </row>
    <row r="10" spans="1:4" ht="12.75">
      <c r="A10" s="327"/>
      <c r="B10" s="327"/>
      <c r="C10" s="327"/>
      <c r="D10" s="327"/>
    </row>
    <row r="11" spans="1:12" ht="12.75">
      <c r="A11" s="686" t="s">
        <v>597</v>
      </c>
      <c r="B11" s="687"/>
      <c r="C11" s="687"/>
      <c r="D11" s="687"/>
      <c r="E11" s="687"/>
      <c r="F11" s="687"/>
      <c r="G11" s="687"/>
      <c r="H11" s="687"/>
      <c r="I11" s="687"/>
      <c r="J11" s="687"/>
      <c r="K11" s="687"/>
      <c r="L11" s="687"/>
    </row>
    <row r="12" spans="1:4" ht="12.75">
      <c r="A12" s="327"/>
      <c r="B12" s="327"/>
      <c r="C12" s="327"/>
      <c r="D12" s="327"/>
    </row>
    <row r="13" spans="1:11" ht="27" customHeight="1">
      <c r="A13" s="327" t="s">
        <v>636</v>
      </c>
      <c r="B13" s="327"/>
      <c r="C13" s="327"/>
      <c r="D13" s="327"/>
      <c r="F13" s="327" t="s">
        <v>590</v>
      </c>
      <c r="G13" s="327"/>
      <c r="H13" s="327"/>
      <c r="I13" s="327"/>
      <c r="J13"/>
      <c r="K13"/>
    </row>
    <row r="14" spans="1:11" ht="36.75" customHeight="1">
      <c r="A14" s="327"/>
      <c r="B14" s="685" t="s">
        <v>281</v>
      </c>
      <c r="C14" s="685"/>
      <c r="D14" s="685"/>
      <c r="F14" s="327"/>
      <c r="G14" s="685" t="s">
        <v>281</v>
      </c>
      <c r="H14" s="685"/>
      <c r="I14" s="685"/>
      <c r="J14"/>
      <c r="K14"/>
    </row>
    <row r="15" spans="1:11" ht="36" customHeight="1">
      <c r="A15" s="328" t="s">
        <v>204</v>
      </c>
      <c r="B15" s="330" t="s">
        <v>259</v>
      </c>
      <c r="C15" s="495" t="s">
        <v>258</v>
      </c>
      <c r="D15" s="495" t="s">
        <v>257</v>
      </c>
      <c r="F15" s="328" t="s">
        <v>204</v>
      </c>
      <c r="G15" s="330" t="s">
        <v>259</v>
      </c>
      <c r="H15" s="495" t="s">
        <v>258</v>
      </c>
      <c r="I15" s="495" t="s">
        <v>257</v>
      </c>
      <c r="J15"/>
      <c r="K15"/>
    </row>
    <row r="16" spans="1:13" ht="15.75">
      <c r="A16" s="474" t="s">
        <v>170</v>
      </c>
      <c r="B16" s="332">
        <v>50.66</v>
      </c>
      <c r="C16" s="332">
        <v>43.54</v>
      </c>
      <c r="D16" s="332">
        <v>46.41</v>
      </c>
      <c r="F16" s="474" t="s">
        <v>170</v>
      </c>
      <c r="G16" s="332">
        <f aca="true" t="shared" si="0" ref="G16:I18">B16/$D$5</f>
        <v>101.32</v>
      </c>
      <c r="H16" s="332">
        <f>C16/$D$5</f>
        <v>87.08</v>
      </c>
      <c r="I16" s="332">
        <f t="shared" si="0"/>
        <v>92.82</v>
      </c>
      <c r="J16"/>
      <c r="K16"/>
      <c r="L16" s="28"/>
      <c r="M16" s="28"/>
    </row>
    <row r="17" spans="1:13" ht="12.75">
      <c r="A17" s="475" t="s">
        <v>191</v>
      </c>
      <c r="B17" s="332">
        <v>131.14</v>
      </c>
      <c r="C17" s="332">
        <v>121.66</v>
      </c>
      <c r="D17" s="332">
        <v>120.14</v>
      </c>
      <c r="F17" s="475" t="s">
        <v>191</v>
      </c>
      <c r="G17" s="332">
        <f t="shared" si="0"/>
        <v>262.28</v>
      </c>
      <c r="H17" s="332">
        <f t="shared" si="0"/>
        <v>243.32</v>
      </c>
      <c r="I17" s="332">
        <f t="shared" si="0"/>
        <v>240.28</v>
      </c>
      <c r="J17"/>
      <c r="K17"/>
      <c r="L17" s="24"/>
      <c r="M17" s="24"/>
    </row>
    <row r="18" spans="1:13" ht="12.75">
      <c r="A18" s="475" t="s">
        <v>280</v>
      </c>
      <c r="B18" s="332">
        <v>8.78</v>
      </c>
      <c r="C18" s="332">
        <v>8.38</v>
      </c>
      <c r="D18" s="332">
        <v>8.03</v>
      </c>
      <c r="F18" s="475" t="s">
        <v>280</v>
      </c>
      <c r="G18" s="332">
        <f t="shared" si="0"/>
        <v>17.56</v>
      </c>
      <c r="H18" s="332">
        <f t="shared" si="0"/>
        <v>16.76</v>
      </c>
      <c r="I18" s="332">
        <f t="shared" si="0"/>
        <v>16.06</v>
      </c>
      <c r="J18"/>
      <c r="K18"/>
      <c r="L18" s="24"/>
      <c r="M18" s="24"/>
    </row>
    <row r="19" spans="1:11" ht="12.75">
      <c r="A19" s="327"/>
      <c r="B19" s="327"/>
      <c r="C19" s="327"/>
      <c r="D19" s="327"/>
      <c r="F19"/>
      <c r="G19"/>
      <c r="H19"/>
      <c r="I19"/>
      <c r="J19"/>
      <c r="K19"/>
    </row>
    <row r="20" spans="1:11" ht="14.25">
      <c r="A20" s="327" t="s">
        <v>637</v>
      </c>
      <c r="B20" s="327"/>
      <c r="C20" s="327"/>
      <c r="D20" s="327"/>
      <c r="F20" s="24"/>
      <c r="G20" s="28"/>
      <c r="H20" s="24"/>
      <c r="I20" s="24"/>
      <c r="J20" s="24"/>
      <c r="K20" s="24"/>
    </row>
    <row r="21" spans="1:15" ht="12.75">
      <c r="A21" s="327"/>
      <c r="B21" s="685" t="s">
        <v>281</v>
      </c>
      <c r="C21" s="685"/>
      <c r="D21" s="685"/>
      <c r="H21" s="24"/>
      <c r="I21" s="28"/>
      <c r="J21" s="24"/>
      <c r="K21" s="24"/>
      <c r="M21" s="9"/>
      <c r="N21" s="9"/>
      <c r="O21" s="9"/>
    </row>
    <row r="22" spans="1:17" ht="14.25">
      <c r="A22" s="328" t="s">
        <v>204</v>
      </c>
      <c r="B22" s="330" t="s">
        <v>259</v>
      </c>
      <c r="C22" s="495" t="s">
        <v>258</v>
      </c>
      <c r="D22" s="495" t="s">
        <v>257</v>
      </c>
      <c r="H22" s="28"/>
      <c r="I22" s="28"/>
      <c r="J22" s="28"/>
      <c r="K22" s="28"/>
      <c r="L22" s="24"/>
      <c r="M22" s="24"/>
      <c r="P22" s="20"/>
      <c r="Q22" s="20"/>
    </row>
    <row r="23" spans="1:13" ht="15.75">
      <c r="A23" s="474" t="s">
        <v>170</v>
      </c>
      <c r="B23" s="336">
        <v>78.91</v>
      </c>
      <c r="C23" s="336">
        <v>69.86</v>
      </c>
      <c r="D23" s="336">
        <v>71.03</v>
      </c>
      <c r="I23" s="28"/>
      <c r="J23" s="24"/>
      <c r="K23" s="24"/>
      <c r="L23" s="28"/>
      <c r="M23" s="28"/>
    </row>
    <row r="24" spans="1:13" ht="12.75">
      <c r="A24" s="475" t="s">
        <v>191</v>
      </c>
      <c r="B24" s="336">
        <v>145.03</v>
      </c>
      <c r="C24" s="336">
        <v>134.46</v>
      </c>
      <c r="D24" s="336">
        <v>132.03</v>
      </c>
      <c r="I24" s="28"/>
      <c r="J24" s="24"/>
      <c r="K24" s="24"/>
      <c r="L24" s="24"/>
      <c r="M24" s="24"/>
    </row>
    <row r="25" spans="1:13" ht="12.75">
      <c r="A25" s="475" t="s">
        <v>280</v>
      </c>
      <c r="B25" s="336">
        <v>10.12</v>
      </c>
      <c r="C25" s="336">
        <v>9.63</v>
      </c>
      <c r="D25" s="332">
        <v>9.21</v>
      </c>
      <c r="I25" s="24"/>
      <c r="J25" s="24"/>
      <c r="K25" s="24"/>
      <c r="L25" s="24"/>
      <c r="M25" s="24"/>
    </row>
    <row r="26" spans="1:4" ht="12.75">
      <c r="A26" s="327"/>
      <c r="B26" s="496"/>
      <c r="C26" s="497"/>
      <c r="D26" s="497"/>
    </row>
    <row r="27" spans="1:5" ht="14.25">
      <c r="A27" s="327" t="s">
        <v>638</v>
      </c>
      <c r="B27" s="327"/>
      <c r="C27" s="327"/>
      <c r="D27" s="327"/>
      <c r="E27" s="327"/>
    </row>
    <row r="28" spans="1:15" ht="12.75">
      <c r="A28" s="327"/>
      <c r="B28" s="685" t="s">
        <v>281</v>
      </c>
      <c r="C28" s="685"/>
      <c r="D28" s="685"/>
      <c r="E28" s="327"/>
      <c r="G28" s="327"/>
      <c r="H28" s="28"/>
      <c r="I28" s="28"/>
      <c r="J28" s="28"/>
      <c r="K28" s="28"/>
      <c r="M28" s="9"/>
      <c r="N28" s="9"/>
      <c r="O28" s="9"/>
    </row>
    <row r="29" spans="1:17" ht="14.25">
      <c r="A29" s="328" t="s">
        <v>204</v>
      </c>
      <c r="B29" s="330" t="s">
        <v>259</v>
      </c>
      <c r="C29" s="495" t="s">
        <v>258</v>
      </c>
      <c r="D29" s="495" t="s">
        <v>257</v>
      </c>
      <c r="G29" s="327"/>
      <c r="H29" s="28"/>
      <c r="I29" s="28"/>
      <c r="J29" s="28"/>
      <c r="K29" s="28"/>
      <c r="L29" s="28"/>
      <c r="M29" s="28"/>
      <c r="O29" s="9"/>
      <c r="P29" s="9"/>
      <c r="Q29" s="9"/>
    </row>
    <row r="30" spans="1:17" ht="15.75">
      <c r="A30" s="474" t="s">
        <v>170</v>
      </c>
      <c r="B30" s="332">
        <v>78.91</v>
      </c>
      <c r="C30" s="332">
        <v>69.86</v>
      </c>
      <c r="D30" s="332">
        <v>71.03</v>
      </c>
      <c r="F30" s="31"/>
      <c r="G30" s="31"/>
      <c r="H30" s="31"/>
      <c r="I30" s="28"/>
      <c r="J30" s="24"/>
      <c r="K30" s="24"/>
      <c r="L30" s="28"/>
      <c r="M30" s="28"/>
      <c r="P30" s="20"/>
      <c r="Q30" s="20"/>
    </row>
    <row r="31" spans="1:13" ht="12.75">
      <c r="A31" s="475" t="s">
        <v>191</v>
      </c>
      <c r="B31" s="332">
        <v>145.03</v>
      </c>
      <c r="C31" s="332">
        <v>134.46</v>
      </c>
      <c r="D31" s="332">
        <v>132.03</v>
      </c>
      <c r="F31" s="31"/>
      <c r="G31" s="31"/>
      <c r="H31" s="31"/>
      <c r="I31" s="28"/>
      <c r="J31" s="28"/>
      <c r="K31" s="28"/>
      <c r="L31" s="24"/>
      <c r="M31" s="24"/>
    </row>
    <row r="32" spans="1:13" ht="12.75">
      <c r="A32" s="475" t="s">
        <v>280</v>
      </c>
      <c r="B32" s="332">
        <v>10.12</v>
      </c>
      <c r="C32" s="332">
        <v>9.63</v>
      </c>
      <c r="D32" s="332">
        <v>9.21</v>
      </c>
      <c r="F32" s="31"/>
      <c r="G32" s="31"/>
      <c r="H32" s="31"/>
      <c r="L32" s="28"/>
      <c r="M32" s="28"/>
    </row>
    <row r="33" spans="1:4" ht="27" customHeight="1">
      <c r="A33" s="684" t="s">
        <v>639</v>
      </c>
      <c r="B33" s="684"/>
      <c r="C33" s="684"/>
      <c r="D33" s="684"/>
    </row>
  </sheetData>
  <sheetProtection/>
  <mergeCells count="7">
    <mergeCell ref="A33:D33"/>
    <mergeCell ref="G14:I14"/>
    <mergeCell ref="B28:D28"/>
    <mergeCell ref="A1:K1"/>
    <mergeCell ref="A11:L11"/>
    <mergeCell ref="B14:D14"/>
    <mergeCell ref="B21:D21"/>
  </mergeCells>
  <printOptions horizontalCentered="1"/>
  <pageMargins left="0.75" right="0.75" top="1" bottom="1" header="0.5" footer="0.5"/>
  <pageSetup fitToHeight="0" horizontalDpi="300" verticalDpi="300" orientation="landscape" scale="70" r:id="rId2"/>
  <headerFooter alignWithMargins="0">
    <oddFooter>&amp;L&amp;D
&amp;C&amp;P of &amp;N&amp;R&amp;A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V35"/>
  <sheetViews>
    <sheetView zoomScalePageLayoutView="0" workbookViewId="0" topLeftCell="A1">
      <selection activeCell="B26" sqref="B26"/>
    </sheetView>
  </sheetViews>
  <sheetFormatPr defaultColWidth="11.421875" defaultRowHeight="12.75"/>
  <cols>
    <col min="1" max="1" width="19.00390625" style="4" bestFit="1" customWidth="1"/>
    <col min="2" max="2" width="12.7109375" style="4" customWidth="1"/>
    <col min="3" max="3" width="11.140625" style="4" customWidth="1"/>
    <col min="4" max="4" width="10.421875" style="4" customWidth="1"/>
    <col min="5" max="5" width="7.7109375" style="4" customWidth="1"/>
    <col min="6" max="6" width="14.28125" style="4" customWidth="1"/>
    <col min="7" max="7" width="15.421875" style="4" customWidth="1"/>
    <col min="8" max="8" width="15.57421875" style="4" customWidth="1"/>
    <col min="9" max="12" width="13.7109375" style="4" customWidth="1"/>
    <col min="13" max="13" width="15.00390625" style="4" customWidth="1"/>
    <col min="14" max="14" width="12.140625" style="4" customWidth="1"/>
    <col min="15" max="15" width="10.421875" style="4" customWidth="1"/>
    <col min="16" max="18" width="11.421875" style="4" customWidth="1"/>
    <col min="19" max="19" width="16.421875" style="4" customWidth="1"/>
    <col min="20" max="20" width="11.421875" style="4" customWidth="1"/>
    <col min="21" max="21" width="9.28125" style="4" bestFit="1" customWidth="1"/>
    <col min="22" max="22" width="13.28125" style="4" customWidth="1"/>
    <col min="23" max="16384" width="11.421875" style="4" customWidth="1"/>
  </cols>
  <sheetData>
    <row r="1" spans="1:22" ht="30.75" customHeight="1">
      <c r="A1" s="665" t="s">
        <v>346</v>
      </c>
      <c r="B1" s="665"/>
      <c r="C1" s="665"/>
      <c r="D1" s="665"/>
      <c r="E1" s="665"/>
      <c r="F1" s="665"/>
      <c r="G1" s="665"/>
      <c r="H1" s="665"/>
      <c r="I1" s="665"/>
      <c r="J1" s="665"/>
      <c r="K1" s="665"/>
      <c r="L1" s="665"/>
      <c r="M1" s="30"/>
      <c r="N1" s="30"/>
      <c r="O1" s="30"/>
      <c r="P1" s="30"/>
      <c r="Q1" s="30"/>
      <c r="R1" s="30"/>
      <c r="S1" s="30"/>
      <c r="T1" s="30"/>
      <c r="U1" s="30"/>
      <c r="V1" s="30"/>
    </row>
    <row r="2" spans="1:22" ht="12.75" customHeight="1">
      <c r="A2" s="101" t="s">
        <v>267</v>
      </c>
      <c r="B2" s="501">
        <f>'Turbine Startup Emissions'!B5+'Turbine Startup Emissions'!B6+'Turbine Startup Emissions'!B7</f>
        <v>365</v>
      </c>
      <c r="C2" s="695" t="s">
        <v>579</v>
      </c>
      <c r="D2" s="696"/>
      <c r="E2" s="241"/>
      <c r="F2" s="3"/>
      <c r="G2" s="3"/>
      <c r="H2" s="3"/>
      <c r="I2" s="3"/>
      <c r="J2" s="3"/>
      <c r="K2" s="3"/>
      <c r="L2" s="3"/>
      <c r="M2" s="3"/>
      <c r="N2" s="3"/>
      <c r="O2" s="3"/>
      <c r="P2" s="3"/>
      <c r="Q2" s="3"/>
      <c r="R2" s="3"/>
      <c r="S2" s="3"/>
      <c r="T2" s="3"/>
      <c r="U2" s="3"/>
      <c r="V2" s="3"/>
    </row>
    <row r="3" spans="1:5" ht="12.75">
      <c r="A3" s="437" t="s">
        <v>577</v>
      </c>
      <c r="B3" s="502">
        <v>0.25</v>
      </c>
      <c r="C3" s="647" t="s">
        <v>578</v>
      </c>
      <c r="D3" s="647"/>
      <c r="E3" s="395"/>
    </row>
    <row r="4" spans="1:5" ht="12.75">
      <c r="A4" s="59" t="s">
        <v>266</v>
      </c>
      <c r="B4" s="63">
        <f>B2*B3</f>
        <v>91.25</v>
      </c>
      <c r="C4" s="678" t="s">
        <v>580</v>
      </c>
      <c r="D4" s="678"/>
      <c r="E4" s="457"/>
    </row>
    <row r="5" spans="1:8" ht="12.75">
      <c r="A5" s="670"/>
      <c r="B5" s="670"/>
      <c r="C5" s="670"/>
      <c r="D5" s="670"/>
      <c r="E5" s="670"/>
      <c r="F5" s="670"/>
      <c r="G5" s="670"/>
      <c r="H5" s="32"/>
    </row>
    <row r="6" spans="1:9" ht="27" customHeight="1">
      <c r="A6" s="40" t="s">
        <v>204</v>
      </c>
      <c r="B6" s="690" t="s">
        <v>701</v>
      </c>
      <c r="C6" s="691"/>
      <c r="D6" s="692"/>
      <c r="E6" s="32"/>
      <c r="F6" s="40" t="s">
        <v>204</v>
      </c>
      <c r="G6" s="690" t="s">
        <v>701</v>
      </c>
      <c r="H6" s="691"/>
      <c r="I6" s="692"/>
    </row>
    <row r="7" spans="1:9" ht="25.5">
      <c r="A7" s="47" t="s">
        <v>281</v>
      </c>
      <c r="B7" s="53" t="s">
        <v>241</v>
      </c>
      <c r="C7" s="52" t="s">
        <v>129</v>
      </c>
      <c r="D7" s="52" t="s">
        <v>128</v>
      </c>
      <c r="E7" s="32"/>
      <c r="F7" s="47" t="s">
        <v>281</v>
      </c>
      <c r="G7" s="53" t="s">
        <v>241</v>
      </c>
      <c r="H7" s="52" t="s">
        <v>129</v>
      </c>
      <c r="I7" s="52" t="s">
        <v>128</v>
      </c>
    </row>
    <row r="8" spans="1:9" ht="15.75">
      <c r="A8" s="40" t="s">
        <v>705</v>
      </c>
      <c r="B8" s="563">
        <v>33.53</v>
      </c>
      <c r="C8" s="563">
        <v>26.9</v>
      </c>
      <c r="D8" s="563">
        <v>30.2</v>
      </c>
      <c r="E8" s="32"/>
      <c r="F8" s="40" t="s">
        <v>698</v>
      </c>
      <c r="G8" s="563">
        <f>B8+B9</f>
        <v>42.53</v>
      </c>
      <c r="H8" s="563">
        <f>C8+C9</f>
        <v>35.9</v>
      </c>
      <c r="I8" s="563">
        <f>D8+D9</f>
        <v>39.2</v>
      </c>
    </row>
    <row r="9" spans="1:9" ht="15.75">
      <c r="A9" s="40" t="s">
        <v>710</v>
      </c>
      <c r="B9" s="563">
        <v>9</v>
      </c>
      <c r="C9" s="563">
        <v>9</v>
      </c>
      <c r="D9" s="563">
        <v>9</v>
      </c>
      <c r="E9" s="32"/>
      <c r="F9" s="40" t="s">
        <v>699</v>
      </c>
      <c r="G9" s="563">
        <f>B10+B11</f>
        <v>114.41</v>
      </c>
      <c r="H9" s="563">
        <f>C10+C11</f>
        <v>105.2</v>
      </c>
      <c r="I9" s="563">
        <f>D10+D11</f>
        <v>103.91</v>
      </c>
    </row>
    <row r="10" spans="1:9" ht="14.25">
      <c r="A10" s="40" t="s">
        <v>706</v>
      </c>
      <c r="B10" s="563">
        <v>87.41</v>
      </c>
      <c r="C10" s="563">
        <v>78.2</v>
      </c>
      <c r="D10" s="563">
        <v>76.91</v>
      </c>
      <c r="E10" s="32"/>
      <c r="F10" s="40" t="s">
        <v>280</v>
      </c>
      <c r="G10" s="504">
        <v>6.43</v>
      </c>
      <c r="H10" s="504">
        <v>5.94</v>
      </c>
      <c r="I10" s="504">
        <v>5.68</v>
      </c>
    </row>
    <row r="11" spans="1:8" ht="14.25">
      <c r="A11" s="40" t="s">
        <v>707</v>
      </c>
      <c r="B11" s="563">
        <v>27</v>
      </c>
      <c r="C11" s="563">
        <v>27</v>
      </c>
      <c r="D11" s="563">
        <v>27</v>
      </c>
      <c r="E11" s="32"/>
      <c r="F11" s="32"/>
      <c r="G11" s="32"/>
      <c r="H11" s="32"/>
    </row>
    <row r="12" spans="1:8" ht="12.75">
      <c r="A12" s="32"/>
      <c r="B12" s="32"/>
      <c r="C12" s="32"/>
      <c r="D12" s="32"/>
      <c r="E12" s="32"/>
      <c r="F12" s="32"/>
      <c r="G12" s="32"/>
      <c r="H12" s="32"/>
    </row>
    <row r="13" spans="1:5" ht="41.25" customHeight="1">
      <c r="A13" s="40" t="s">
        <v>204</v>
      </c>
      <c r="B13" s="690" t="s">
        <v>697</v>
      </c>
      <c r="C13" s="691"/>
      <c r="D13" s="692"/>
      <c r="E13"/>
    </row>
    <row r="14" spans="1:5" ht="14.25">
      <c r="A14" s="47" t="s">
        <v>281</v>
      </c>
      <c r="B14" s="53" t="s">
        <v>241</v>
      </c>
      <c r="C14" s="52" t="s">
        <v>129</v>
      </c>
      <c r="D14" s="52" t="s">
        <v>128</v>
      </c>
      <c r="E14"/>
    </row>
    <row r="15" spans="1:5" ht="15.75">
      <c r="A15" s="40" t="s">
        <v>708</v>
      </c>
      <c r="B15" s="563">
        <v>16.44</v>
      </c>
      <c r="C15" s="563">
        <v>14.97</v>
      </c>
      <c r="D15" s="563">
        <v>15.7</v>
      </c>
      <c r="E15"/>
    </row>
    <row r="16" spans="1:5" ht="14.25">
      <c r="A16" s="40" t="s">
        <v>699</v>
      </c>
      <c r="B16" s="563">
        <v>51.47</v>
      </c>
      <c r="C16" s="563">
        <v>48.9</v>
      </c>
      <c r="D16" s="563">
        <v>48.53</v>
      </c>
      <c r="E16"/>
    </row>
    <row r="17" spans="1:5" ht="14.25">
      <c r="A17" s="40" t="s">
        <v>700</v>
      </c>
      <c r="B17" s="504">
        <f>G10</f>
        <v>6.43</v>
      </c>
      <c r="C17" s="504">
        <f>H10</f>
        <v>5.94</v>
      </c>
      <c r="D17" s="504">
        <f>I10</f>
        <v>5.68</v>
      </c>
      <c r="E17"/>
    </row>
    <row r="18" spans="1:15" ht="28.5" customHeight="1">
      <c r="A18" s="688" t="s">
        <v>711</v>
      </c>
      <c r="B18" s="688"/>
      <c r="C18" s="688"/>
      <c r="D18" s="688"/>
      <c r="E18" s="688"/>
      <c r="F18" s="688"/>
      <c r="G18" s="688"/>
      <c r="H18" s="688"/>
      <c r="I18" s="688"/>
      <c r="J18" s="688"/>
      <c r="K18" s="688"/>
      <c r="L18" s="688"/>
      <c r="M18" s="49"/>
      <c r="N18" s="49"/>
      <c r="O18" s="49"/>
    </row>
    <row r="19" spans="1:15" ht="29.25" customHeight="1">
      <c r="A19" s="689" t="s">
        <v>709</v>
      </c>
      <c r="B19" s="689"/>
      <c r="C19" s="689"/>
      <c r="D19" s="689"/>
      <c r="E19" s="689"/>
      <c r="F19" s="689"/>
      <c r="G19" s="689"/>
      <c r="H19" s="689"/>
      <c r="I19" s="689"/>
      <c r="J19" s="689"/>
      <c r="K19" s="689"/>
      <c r="L19" s="689"/>
      <c r="M19" s="454"/>
      <c r="N19" s="253"/>
      <c r="O19" s="253"/>
    </row>
    <row r="20" spans="6:9" ht="12.75">
      <c r="F20" s="659"/>
      <c r="G20" s="659"/>
      <c r="H20" s="659"/>
      <c r="I20" s="659"/>
    </row>
    <row r="21" spans="1:2" ht="12.75">
      <c r="A21" s="659" t="s">
        <v>598</v>
      </c>
      <c r="B21" s="659"/>
    </row>
    <row r="22" spans="1:4" ht="25.5">
      <c r="A22" s="24"/>
      <c r="B22" s="39" t="s">
        <v>599</v>
      </c>
      <c r="C22" s="39" t="s">
        <v>704</v>
      </c>
      <c r="D22"/>
    </row>
    <row r="23" spans="1:4" ht="15.75">
      <c r="A23" s="40" t="s">
        <v>261</v>
      </c>
      <c r="B23" s="563">
        <f>H8*$B$2/2000</f>
        <v>6.55175</v>
      </c>
      <c r="C23" s="563">
        <f>C15*$B$2/2000</f>
        <v>2.732025</v>
      </c>
      <c r="D23"/>
    </row>
    <row r="24" spans="1:4" ht="12.75">
      <c r="A24" s="40" t="s">
        <v>262</v>
      </c>
      <c r="B24" s="563">
        <f>H9*$B$2/2000</f>
        <v>19.199</v>
      </c>
      <c r="C24" s="563">
        <f>C16*$B$2/2000</f>
        <v>8.92425</v>
      </c>
      <c r="D24"/>
    </row>
    <row r="25" spans="1:4" ht="12.75">
      <c r="A25" s="40" t="s">
        <v>280</v>
      </c>
      <c r="B25" s="563">
        <f>H10*$B$2/2000</f>
        <v>1.0840500000000002</v>
      </c>
      <c r="C25" s="563">
        <f>C17*$B$2/2000</f>
        <v>1.0840500000000002</v>
      </c>
      <c r="D25"/>
    </row>
    <row r="27" spans="1:11" ht="12.75">
      <c r="A27" s="665" t="s">
        <v>617</v>
      </c>
      <c r="B27" s="665"/>
      <c r="C27" s="665"/>
      <c r="D27" s="665"/>
      <c r="E27" s="665"/>
      <c r="F27" s="665"/>
      <c r="G27" s="665"/>
      <c r="H27" s="665"/>
      <c r="I27" s="665"/>
      <c r="J27" s="665"/>
      <c r="K27" s="665"/>
    </row>
    <row r="28" spans="1:11" ht="36.75" customHeight="1">
      <c r="A28" s="698" t="s">
        <v>712</v>
      </c>
      <c r="B28" s="698"/>
      <c r="C28" s="698"/>
      <c r="D28" s="698"/>
      <c r="E28" s="698"/>
      <c r="F28" s="698"/>
      <c r="G28" s="698"/>
      <c r="H28" s="698"/>
      <c r="I28" s="49"/>
      <c r="J28" s="548"/>
      <c r="K28" s="548"/>
    </row>
    <row r="29" spans="2:12" ht="63.75" customHeight="1">
      <c r="B29" s="690" t="s">
        <v>702</v>
      </c>
      <c r="C29" s="693"/>
      <c r="D29" s="694"/>
      <c r="E29" s="690" t="s">
        <v>640</v>
      </c>
      <c r="F29" s="693"/>
      <c r="G29" s="694"/>
      <c r="H29" s="41" t="s">
        <v>614</v>
      </c>
      <c r="I29" s="601"/>
      <c r="J29" s="41" t="s">
        <v>618</v>
      </c>
      <c r="K29" s="41" t="s">
        <v>615</v>
      </c>
      <c r="L29" s="41" t="s">
        <v>616</v>
      </c>
    </row>
    <row r="30" spans="1:12" ht="14.25">
      <c r="A30" s="602"/>
      <c r="B30" s="53" t="s">
        <v>241</v>
      </c>
      <c r="C30" s="52" t="s">
        <v>129</v>
      </c>
      <c r="D30" s="52" t="s">
        <v>128</v>
      </c>
      <c r="E30" s="53" t="s">
        <v>241</v>
      </c>
      <c r="F30" s="52" t="s">
        <v>129</v>
      </c>
      <c r="G30" s="52" t="s">
        <v>128</v>
      </c>
      <c r="H30" s="549"/>
      <c r="I30"/>
      <c r="J30" s="603"/>
      <c r="K30" s="604"/>
      <c r="L30" s="605"/>
    </row>
    <row r="31" spans="1:12" ht="15.75">
      <c r="A31" s="40" t="s">
        <v>261</v>
      </c>
      <c r="B31" s="503">
        <f>MAX('Turbine and Duct Burner Hourly'!C21:C24)</f>
        <v>15.6</v>
      </c>
      <c r="C31" s="503">
        <f>MAX('Turbine and Duct Burner Hourly'!D21:D24)</f>
        <v>14.7</v>
      </c>
      <c r="D31" s="503">
        <f>MAX('Turbine and Duct Burner Hourly'!E21:E24)</f>
        <v>14</v>
      </c>
      <c r="E31" s="643">
        <f>(B31*(1-$B$3))+$B$15</f>
        <v>28.14</v>
      </c>
      <c r="F31" s="643">
        <f>(C31*(1-$B$3))+$C$15</f>
        <v>25.994999999999997</v>
      </c>
      <c r="G31" s="643">
        <f>(D31*(1-$B$3))+$D$15</f>
        <v>26.2</v>
      </c>
      <c r="H31" s="643">
        <f>MAX(E31:G31)</f>
        <v>28.14</v>
      </c>
      <c r="I31"/>
      <c r="J31" s="233">
        <f>MAX('Turbine Startup Emissions'!G16:I16,'Turbine Startup Emissions'!B23:D23,'Turbine Startup Emissions'!B30:D30)</f>
        <v>101.32</v>
      </c>
      <c r="K31" s="233">
        <f>'Turbine and Duct Burner Hourly'!I21</f>
        <v>15.6</v>
      </c>
      <c r="L31" s="40" t="s">
        <v>55</v>
      </c>
    </row>
    <row r="32" spans="1:12" ht="12.75">
      <c r="A32" s="40" t="s">
        <v>262</v>
      </c>
      <c r="B32" s="503">
        <f>MAX('Turbine and Duct Burner Hourly'!C39:C42)</f>
        <v>9.5</v>
      </c>
      <c r="C32" s="503">
        <f>MAX('Turbine and Duct Burner Hourly'!D39:D42)</f>
        <v>9</v>
      </c>
      <c r="D32" s="503">
        <f>MAX('Turbine and Duct Burner Hourly'!E39:E42)</f>
        <v>8.5</v>
      </c>
      <c r="E32" s="643">
        <f>(B32*(1-$B$3))+$B$16</f>
        <v>58.595</v>
      </c>
      <c r="F32" s="643">
        <f>(C32*(1-$B$3))+$C$16</f>
        <v>55.65</v>
      </c>
      <c r="G32" s="643">
        <f>(D32*(1-$B$3))+$D$16</f>
        <v>54.905</v>
      </c>
      <c r="H32" s="643">
        <f>MAX(E32:G32)</f>
        <v>58.595</v>
      </c>
      <c r="I32"/>
      <c r="J32" s="233">
        <f>MAX('Turbine Startup Emissions'!G17:I17,'Turbine Startup Emissions'!B24:D24,'Turbine Startup Emissions'!B31:D31)</f>
        <v>262.28</v>
      </c>
      <c r="K32" s="233">
        <f>'Turbine and Duct Burner Hourly'!I39</f>
        <v>9.5</v>
      </c>
      <c r="L32" s="40" t="s">
        <v>55</v>
      </c>
    </row>
    <row r="33" spans="1:12" ht="12.75">
      <c r="A33" s="40" t="s">
        <v>280</v>
      </c>
      <c r="B33" s="503">
        <f>MAX('Turbine and Duct Burner Hourly'!C57:C60)</f>
        <v>4.1</v>
      </c>
      <c r="C33" s="503">
        <f>MAX('Turbine and Duct Burner Hourly'!D57:D60)</f>
        <v>4</v>
      </c>
      <c r="D33" s="503">
        <f>MAX('Turbine and Duct Burner Hourly'!E57:E60)</f>
        <v>3.8</v>
      </c>
      <c r="E33" s="643">
        <f>(B33*(1-$B$3))+$B$17</f>
        <v>9.504999999999999</v>
      </c>
      <c r="F33" s="643">
        <f>(C33*(1-$B$3))+$C$17</f>
        <v>8.940000000000001</v>
      </c>
      <c r="G33" s="643">
        <f>(D33*(1-$B$3))+$D$17</f>
        <v>8.53</v>
      </c>
      <c r="H33" s="643">
        <f>MAX(E33:G33)</f>
        <v>9.504999999999999</v>
      </c>
      <c r="I33"/>
      <c r="J33" s="233">
        <f>MAX('Turbine Startup Emissions'!G18:I18,'Turbine Startup Emissions'!B25:D25,'Turbine Startup Emissions'!B32:D32)</f>
        <v>17.56</v>
      </c>
      <c r="K33" s="233">
        <f>'Turbine and Duct Burner Hourly'!I39</f>
        <v>9.5</v>
      </c>
      <c r="L33" s="40" t="s">
        <v>55</v>
      </c>
    </row>
    <row r="34" spans="1:9" ht="12.75">
      <c r="A34" s="697" t="s">
        <v>703</v>
      </c>
      <c r="B34" s="659"/>
      <c r="C34" s="659"/>
      <c r="D34" s="659"/>
      <c r="E34" s="659"/>
      <c r="F34" s="659"/>
      <c r="G34" s="659"/>
      <c r="H34" s="659"/>
      <c r="I34" s="659"/>
    </row>
    <row r="35" ht="12.75">
      <c r="H35"/>
    </row>
  </sheetData>
  <sheetProtection/>
  <mergeCells count="17">
    <mergeCell ref="A34:I34"/>
    <mergeCell ref="B6:D6"/>
    <mergeCell ref="C4:D4"/>
    <mergeCell ref="F20:I20"/>
    <mergeCell ref="A27:K27"/>
    <mergeCell ref="G6:I6"/>
    <mergeCell ref="A28:H28"/>
    <mergeCell ref="A1:L1"/>
    <mergeCell ref="A18:L18"/>
    <mergeCell ref="A19:L19"/>
    <mergeCell ref="B13:D13"/>
    <mergeCell ref="A5:G5"/>
    <mergeCell ref="E29:G29"/>
    <mergeCell ref="B29:D29"/>
    <mergeCell ref="A21:B21"/>
    <mergeCell ref="C3:D3"/>
    <mergeCell ref="C2:D2"/>
  </mergeCells>
  <printOptions horizontalCentered="1"/>
  <pageMargins left="0.75" right="0.75" top="1" bottom="1" header="0.5" footer="0.5"/>
  <pageSetup fitToHeight="0" fitToWidth="1" horizontalDpi="600" verticalDpi="600" orientation="landscape" scale="62" r:id="rId2"/>
  <headerFooter alignWithMargins="0">
    <oddFooter>&amp;L&amp;D
&amp;C&amp;P of &amp;N&amp;R&amp;A</oddFooter>
  </headerFooter>
  <rowBreaks count="1" manualBreakCount="1">
    <brk id="34" max="255" man="1"/>
  </rowBreaks>
  <drawing r:id="rId1"/>
</worksheet>
</file>

<file path=xl/worksheets/sheet12.xml><?xml version="1.0" encoding="utf-8"?>
<worksheet xmlns="http://schemas.openxmlformats.org/spreadsheetml/2006/main" xmlns:r="http://schemas.openxmlformats.org/officeDocument/2006/relationships">
  <dimension ref="A1:H31"/>
  <sheetViews>
    <sheetView zoomScalePageLayoutView="0" workbookViewId="0" topLeftCell="A1">
      <selection activeCell="G12" sqref="G12"/>
    </sheetView>
  </sheetViews>
  <sheetFormatPr defaultColWidth="11.421875" defaultRowHeight="12.75"/>
  <cols>
    <col min="1" max="1" width="32.140625" style="550" customWidth="1"/>
    <col min="2" max="2" width="18.28125" style="550" customWidth="1"/>
    <col min="3" max="3" width="16.140625" style="550" customWidth="1"/>
    <col min="4" max="4" width="18.28125" style="550" customWidth="1"/>
    <col min="5" max="16384" width="11.421875" style="550" customWidth="1"/>
  </cols>
  <sheetData>
    <row r="1" spans="1:5" ht="36" customHeight="1">
      <c r="A1" s="699" t="s">
        <v>47</v>
      </c>
      <c r="B1" s="699"/>
      <c r="C1" s="699"/>
      <c r="D1" s="699"/>
      <c r="E1" s="699"/>
    </row>
    <row r="2" spans="1:4" ht="15.75">
      <c r="A2" s="551"/>
      <c r="B2" s="551"/>
      <c r="C2" s="551"/>
      <c r="D2" s="551"/>
    </row>
    <row r="3" spans="1:4" ht="15.75">
      <c r="A3" s="551"/>
      <c r="B3" s="551"/>
      <c r="C3" s="551"/>
      <c r="D3" s="551"/>
    </row>
    <row r="4" spans="1:5" ht="12.75">
      <c r="A4" s="552" t="s">
        <v>560</v>
      </c>
      <c r="B4" s="553"/>
      <c r="C4" s="553"/>
      <c r="D4" s="553"/>
      <c r="E4" s="552"/>
    </row>
    <row r="5" spans="1:4" ht="14.25">
      <c r="A5" s="554" t="s">
        <v>281</v>
      </c>
      <c r="B5" s="555" t="s">
        <v>564</v>
      </c>
      <c r="C5" s="556" t="s">
        <v>565</v>
      </c>
      <c r="D5" s="556" t="s">
        <v>566</v>
      </c>
    </row>
    <row r="6" spans="1:4" ht="12.75">
      <c r="A6" s="557" t="s">
        <v>158</v>
      </c>
      <c r="B6" s="558">
        <v>3469.12</v>
      </c>
      <c r="C6" s="558">
        <v>3231.74</v>
      </c>
      <c r="D6" s="558">
        <v>3023.86</v>
      </c>
    </row>
    <row r="7" spans="1:4" ht="12.75">
      <c r="A7" s="557" t="s">
        <v>561</v>
      </c>
      <c r="B7" s="558">
        <v>3469.12</v>
      </c>
      <c r="C7" s="558">
        <v>3231.74</v>
      </c>
      <c r="D7" s="558">
        <v>3023.86</v>
      </c>
    </row>
    <row r="8" spans="1:4" ht="12.75">
      <c r="A8" s="557" t="s">
        <v>562</v>
      </c>
      <c r="B8" s="558">
        <v>2895.28</v>
      </c>
      <c r="C8" s="558">
        <v>2670.88</v>
      </c>
      <c r="D8" s="558">
        <v>2386.46</v>
      </c>
    </row>
    <row r="9" spans="1:4" ht="12.75">
      <c r="A9" s="557" t="s">
        <v>563</v>
      </c>
      <c r="B9" s="558">
        <v>2516.42</v>
      </c>
      <c r="C9" s="558">
        <v>2041.6</v>
      </c>
      <c r="D9" s="558">
        <v>2041.62</v>
      </c>
    </row>
    <row r="10" spans="1:5" ht="12.75">
      <c r="A10" s="559"/>
      <c r="B10" s="553"/>
      <c r="C10" s="560"/>
      <c r="D10" s="560"/>
      <c r="E10" s="559"/>
    </row>
    <row r="11" spans="1:5" ht="12.75">
      <c r="A11" s="552" t="s">
        <v>581</v>
      </c>
      <c r="B11" s="553"/>
      <c r="C11" s="553"/>
      <c r="D11" s="553"/>
      <c r="E11" s="552"/>
    </row>
    <row r="12" spans="1:4" ht="14.25">
      <c r="A12" s="554" t="s">
        <v>281</v>
      </c>
      <c r="B12" s="555" t="s">
        <v>564</v>
      </c>
      <c r="C12" s="556" t="s">
        <v>565</v>
      </c>
      <c r="D12" s="556" t="s">
        <v>566</v>
      </c>
    </row>
    <row r="13" spans="1:4" ht="12.75">
      <c r="A13" s="557" t="s">
        <v>158</v>
      </c>
      <c r="B13" s="558">
        <f>B6/2</f>
        <v>1734.56</v>
      </c>
      <c r="C13" s="558">
        <f>C6/2</f>
        <v>1615.87</v>
      </c>
      <c r="D13" s="558">
        <f>D6/2</f>
        <v>1511.93</v>
      </c>
    </row>
    <row r="14" spans="1:4" ht="12.75">
      <c r="A14" s="557" t="s">
        <v>561</v>
      </c>
      <c r="B14" s="558">
        <f aca="true" t="shared" si="0" ref="B14:D16">B7/2</f>
        <v>1734.56</v>
      </c>
      <c r="C14" s="558">
        <f t="shared" si="0"/>
        <v>1615.87</v>
      </c>
      <c r="D14" s="558">
        <f t="shared" si="0"/>
        <v>1511.93</v>
      </c>
    </row>
    <row r="15" spans="1:4" ht="12.75">
      <c r="A15" s="557" t="s">
        <v>562</v>
      </c>
      <c r="B15" s="558">
        <f t="shared" si="0"/>
        <v>1447.64</v>
      </c>
      <c r="C15" s="558">
        <f t="shared" si="0"/>
        <v>1335.44</v>
      </c>
      <c r="D15" s="558">
        <f t="shared" si="0"/>
        <v>1193.23</v>
      </c>
    </row>
    <row r="16" spans="1:4" ht="12.75">
      <c r="A16" s="557" t="s">
        <v>563</v>
      </c>
      <c r="B16" s="558">
        <f t="shared" si="0"/>
        <v>1258.21</v>
      </c>
      <c r="C16" s="558">
        <f t="shared" si="0"/>
        <v>1020.8</v>
      </c>
      <c r="D16" s="558">
        <f t="shared" si="0"/>
        <v>1020.81</v>
      </c>
    </row>
    <row r="17" spans="1:4" ht="15.75">
      <c r="A17" s="551"/>
      <c r="B17" s="551"/>
      <c r="C17" s="551"/>
      <c r="D17" s="551"/>
    </row>
    <row r="18" spans="1:4" ht="12.75" customHeight="1">
      <c r="A18" s="701" t="s">
        <v>45</v>
      </c>
      <c r="B18" s="701"/>
      <c r="C18" s="701"/>
      <c r="D18" s="701"/>
    </row>
    <row r="19" spans="1:3" ht="25.5">
      <c r="A19" s="561" t="s">
        <v>48</v>
      </c>
      <c r="B19" s="561" t="s">
        <v>46</v>
      </c>
      <c r="C19" s="562"/>
    </row>
    <row r="20" spans="1:2" ht="12.75">
      <c r="A20" s="563">
        <f>MAX(B13:D16)</f>
        <v>1734.56</v>
      </c>
      <c r="B20" s="563">
        <f>A20*1000000*1054.8/1000000000</f>
        <v>1829.613888</v>
      </c>
    </row>
    <row r="21" s="553" customFormat="1" ht="12.75"/>
    <row r="22" s="553" customFormat="1" ht="12.75">
      <c r="A22" s="564" t="s">
        <v>51</v>
      </c>
    </row>
    <row r="23" spans="1:4" ht="12.75">
      <c r="A23" s="702" t="s">
        <v>34</v>
      </c>
      <c r="B23" s="703"/>
      <c r="C23" s="704"/>
      <c r="D23" s="565">
        <f>'Bowie Sources'!E5</f>
        <v>0.95</v>
      </c>
    </row>
    <row r="24" spans="1:4" ht="12.75" customHeight="1">
      <c r="A24" s="702" t="s">
        <v>49</v>
      </c>
      <c r="B24" s="703"/>
      <c r="C24" s="704"/>
      <c r="D24" s="566">
        <f>A20*8760*D23</f>
        <v>14435008.319999998</v>
      </c>
    </row>
    <row r="25" spans="1:4" ht="12.75">
      <c r="A25" s="700" t="s">
        <v>50</v>
      </c>
      <c r="B25" s="700"/>
      <c r="C25" s="700"/>
      <c r="D25" s="566">
        <f>D24*2</f>
        <v>28870016.639999997</v>
      </c>
    </row>
    <row r="27" spans="1:8" ht="12.75">
      <c r="A27" s="564" t="s">
        <v>240</v>
      </c>
      <c r="B27" s="564"/>
      <c r="C27" s="564"/>
      <c r="D27" s="564"/>
      <c r="E27" s="567"/>
      <c r="F27" s="553"/>
      <c r="G27" s="553"/>
      <c r="H27" s="553"/>
    </row>
    <row r="28" spans="1:5" ht="12.75">
      <c r="A28" s="705" t="s">
        <v>53</v>
      </c>
      <c r="B28" s="706"/>
      <c r="C28" s="706"/>
      <c r="D28" s="557">
        <f>'Bowie Sources'!C6</f>
        <v>420</v>
      </c>
      <c r="E28" s="553"/>
    </row>
    <row r="29" spans="1:5" ht="12.75">
      <c r="A29" s="705" t="s">
        <v>52</v>
      </c>
      <c r="B29" s="705"/>
      <c r="C29" s="705"/>
      <c r="D29" s="568">
        <f>'Bowie Sources'!E6</f>
        <v>4224</v>
      </c>
      <c r="E29" s="553"/>
    </row>
    <row r="30" spans="1:5" ht="12.75">
      <c r="A30" s="700" t="s">
        <v>0</v>
      </c>
      <c r="B30" s="700"/>
      <c r="C30" s="700"/>
      <c r="D30" s="569">
        <f>D28*D29</f>
        <v>1774080</v>
      </c>
      <c r="E30" s="553"/>
    </row>
    <row r="31" spans="1:5" ht="12.75" customHeight="1">
      <c r="A31" s="700" t="s">
        <v>1</v>
      </c>
      <c r="B31" s="700"/>
      <c r="C31" s="700"/>
      <c r="D31" s="569">
        <f>D30*2</f>
        <v>3548160</v>
      </c>
      <c r="E31" s="553"/>
    </row>
  </sheetData>
  <sheetProtection/>
  <mergeCells count="9">
    <mergeCell ref="A1:E1"/>
    <mergeCell ref="A31:C31"/>
    <mergeCell ref="A18:D18"/>
    <mergeCell ref="A23:C23"/>
    <mergeCell ref="A24:C24"/>
    <mergeCell ref="A25:C25"/>
    <mergeCell ref="A29:C29"/>
    <mergeCell ref="A28:C28"/>
    <mergeCell ref="A30:C30"/>
  </mergeCells>
  <printOptions horizontalCentered="1"/>
  <pageMargins left="0.7" right="0.7" top="0.75" bottom="0.75" header="0.3" footer="0.3"/>
  <pageSetup horizontalDpi="600" verticalDpi="600" orientation="landscape" scale="8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D10" sqref="D10"/>
    </sheetView>
  </sheetViews>
  <sheetFormatPr defaultColWidth="11.421875" defaultRowHeight="12.75"/>
  <cols>
    <col min="1" max="1" width="34.00390625" style="133" customWidth="1"/>
    <col min="2" max="2" width="15.28125" style="133" customWidth="1"/>
    <col min="3" max="3" width="18.7109375" style="133" customWidth="1"/>
    <col min="4" max="4" width="15.28125" style="133" customWidth="1"/>
    <col min="5" max="5" width="14.28125" style="133" customWidth="1"/>
    <col min="6" max="6" width="14.7109375" style="133" customWidth="1"/>
    <col min="7" max="7" width="16.140625" style="133" customWidth="1"/>
    <col min="8" max="8" width="13.7109375" style="133" customWidth="1"/>
    <col min="9" max="9" width="15.28125" style="133" customWidth="1"/>
    <col min="10" max="16384" width="11.421875" style="133" customWidth="1"/>
  </cols>
  <sheetData>
    <row r="1" spans="1:6" ht="34.5" customHeight="1">
      <c r="A1" s="709" t="s">
        <v>309</v>
      </c>
      <c r="B1" s="710"/>
      <c r="C1" s="710"/>
      <c r="D1" s="710"/>
      <c r="E1" s="710"/>
      <c r="F1" s="710"/>
    </row>
    <row r="2" spans="1:7" ht="12.75">
      <c r="A2" s="134"/>
      <c r="B2" s="134"/>
      <c r="C2" s="134"/>
      <c r="D2" s="134"/>
      <c r="E2" s="135"/>
      <c r="F2" s="135"/>
      <c r="G2" s="135"/>
    </row>
    <row r="3" spans="1:7" ht="12.75">
      <c r="A3" s="134"/>
      <c r="B3" s="136" t="s">
        <v>37</v>
      </c>
      <c r="C3" s="134"/>
      <c r="D3" s="136" t="s">
        <v>268</v>
      </c>
      <c r="E3" s="135"/>
      <c r="F3" s="135"/>
      <c r="G3" s="135"/>
    </row>
    <row r="4" spans="1:7" ht="12.75">
      <c r="A4" s="130" t="s">
        <v>140</v>
      </c>
      <c r="B4" s="137">
        <f>'Turbine and DB Heat Input'!A20</f>
        <v>1734.56</v>
      </c>
      <c r="C4" s="131" t="s">
        <v>102</v>
      </c>
      <c r="D4" s="138">
        <f>B4*2</f>
        <v>3469.12</v>
      </c>
      <c r="E4" s="131" t="s">
        <v>102</v>
      </c>
      <c r="F4" s="135"/>
      <c r="G4" s="135"/>
    </row>
    <row r="5" spans="1:7" ht="12.75">
      <c r="A5" s="131" t="s">
        <v>141</v>
      </c>
      <c r="B5" s="137">
        <f>'Turbine and DB Heat Input'!D24</f>
        <v>14435008.319999998</v>
      </c>
      <c r="C5" s="131" t="s">
        <v>108</v>
      </c>
      <c r="D5" s="138">
        <f>'Turbine and DB Heat Input'!D25</f>
        <v>28870016.639999997</v>
      </c>
      <c r="E5" s="131" t="s">
        <v>108</v>
      </c>
      <c r="F5" s="135"/>
      <c r="G5" s="135"/>
    </row>
    <row r="6" spans="1:7" ht="12.75">
      <c r="A6"/>
      <c r="B6"/>
      <c r="C6"/>
      <c r="D6" s="140"/>
      <c r="E6" s="144"/>
      <c r="F6" s="135"/>
      <c r="G6" s="135"/>
    </row>
    <row r="7" spans="1:7" ht="12.75">
      <c r="A7" s="711" t="s">
        <v>283</v>
      </c>
      <c r="B7" s="712"/>
      <c r="C7" s="235">
        <f>'Bowie Sources'!B20</f>
        <v>1034.6</v>
      </c>
      <c r="D7" s="140"/>
      <c r="E7" s="144"/>
      <c r="F7" s="135"/>
      <c r="G7" s="135"/>
    </row>
    <row r="8" ht="12.75"/>
    <row r="9" spans="1:7" ht="12.75">
      <c r="A9" s="711" t="s">
        <v>85</v>
      </c>
      <c r="B9" s="712"/>
      <c r="C9" s="132">
        <f>'Bowie Sources'!D16</f>
        <v>0.7</v>
      </c>
      <c r="D9" s="12"/>
      <c r="E9" s="12"/>
      <c r="F9" s="135"/>
      <c r="G9" s="135"/>
    </row>
    <row r="10" spans="1:7" ht="12.75">
      <c r="A10" s="131" t="s">
        <v>340</v>
      </c>
      <c r="B10" s="132"/>
      <c r="C10" s="132">
        <v>0</v>
      </c>
      <c r="D10" s="472" t="s">
        <v>620</v>
      </c>
      <c r="E10" s="12"/>
      <c r="F10" s="135"/>
      <c r="G10" s="135"/>
    </row>
    <row r="11" ht="12.75"/>
    <row r="12" spans="1:7" ht="12.75">
      <c r="A12" s="711" t="s">
        <v>342</v>
      </c>
      <c r="B12" s="712"/>
      <c r="C12" s="237">
        <f>'Turbine and Duct Burner Annual'!H8</f>
        <v>8322</v>
      </c>
      <c r="D12" s="12"/>
      <c r="E12" s="12"/>
      <c r="F12" s="135"/>
      <c r="G12" s="135"/>
    </row>
    <row r="13" spans="1:7" ht="12.75">
      <c r="A13" s="711" t="s">
        <v>341</v>
      </c>
      <c r="B13" s="712"/>
      <c r="C13" s="139">
        <f>'Turbine Startup Emissions'!B9</f>
        <v>325</v>
      </c>
      <c r="D13" s="140"/>
      <c r="E13" s="135"/>
      <c r="F13" s="135"/>
      <c r="G13" s="135"/>
    </row>
    <row r="14" spans="1:7" ht="12.75">
      <c r="A14" s="570" t="s">
        <v>621</v>
      </c>
      <c r="B14" s="520"/>
      <c r="C14" s="139">
        <f>'Turbine Shutdown Emissions'!B4</f>
        <v>91.25</v>
      </c>
      <c r="D14" s="140"/>
      <c r="E14" s="135"/>
      <c r="F14" s="135"/>
      <c r="G14" s="135"/>
    </row>
    <row r="15" spans="1:7" ht="12.75">
      <c r="A15" s="570" t="s">
        <v>622</v>
      </c>
      <c r="B15" s="520"/>
      <c r="C15" s="139">
        <f>C13+C14</f>
        <v>416.25</v>
      </c>
      <c r="D15" s="140"/>
      <c r="E15" s="135"/>
      <c r="F15" s="135"/>
      <c r="G15" s="135"/>
    </row>
    <row r="16" spans="1:7" ht="12.75">
      <c r="A16" s="711" t="s">
        <v>383</v>
      </c>
      <c r="B16" s="712"/>
      <c r="C16" s="139">
        <f>C12-C13</f>
        <v>7997</v>
      </c>
      <c r="D16" s="140"/>
      <c r="E16" s="135"/>
      <c r="F16" s="135"/>
      <c r="G16" s="135"/>
    </row>
    <row r="17" ht="12.75"/>
    <row r="18" spans="1:6" ht="83.25" customHeight="1">
      <c r="A18" s="141" t="s">
        <v>103</v>
      </c>
      <c r="B18" s="142" t="s">
        <v>338</v>
      </c>
      <c r="C18" s="142" t="s">
        <v>337</v>
      </c>
      <c r="D18" s="142" t="s">
        <v>143</v>
      </c>
      <c r="E18" s="142" t="s">
        <v>86</v>
      </c>
      <c r="F18" s="143"/>
    </row>
    <row r="19" spans="1:6" ht="15.75" customHeight="1">
      <c r="A19" s="131" t="s">
        <v>208</v>
      </c>
      <c r="B19" s="145">
        <v>4E-05</v>
      </c>
      <c r="C19" s="146">
        <f>B19*$C$7/1020</f>
        <v>4.057254901960784E-05</v>
      </c>
      <c r="D19" s="146">
        <f>C19*$B$4</f>
        <v>0.07037552062745098</v>
      </c>
      <c r="E19" s="146">
        <f>((D19*$C$16*(1-$C$9))+(D19*$C$15*(1-$C$10)))/2000</f>
        <v>0.09906586099924707</v>
      </c>
      <c r="F19" s="147"/>
    </row>
    <row r="20" spans="1:6" ht="12.75">
      <c r="A20" s="131" t="s">
        <v>104</v>
      </c>
      <c r="B20" s="145">
        <v>6.4E-06</v>
      </c>
      <c r="C20" s="146">
        <f aca="true" t="shared" si="0" ref="C20:C27">B20*$C$7/1020</f>
        <v>6.4916078431372545E-06</v>
      </c>
      <c r="D20" s="146">
        <f aca="true" t="shared" si="1" ref="D20:D25">C20*$B$4</f>
        <v>0.011260083300392156</v>
      </c>
      <c r="E20" s="146">
        <f aca="true" t="shared" si="2" ref="E20:E27">((D20*$C$16*(1-$C$9))+(D20*$C$15*(1-$C$10)))/2000</f>
        <v>0.015850537759879532</v>
      </c>
      <c r="F20" s="147"/>
    </row>
    <row r="21" spans="1:6" ht="13.5" customHeight="1">
      <c r="A21" s="131" t="s">
        <v>209</v>
      </c>
      <c r="B21" s="145">
        <v>1.2E-05</v>
      </c>
      <c r="C21" s="146">
        <f t="shared" si="0"/>
        <v>1.2171764705882353E-05</v>
      </c>
      <c r="D21" s="146">
        <f t="shared" si="1"/>
        <v>0.021112656188235292</v>
      </c>
      <c r="E21" s="146">
        <f t="shared" si="2"/>
        <v>0.02971975829977412</v>
      </c>
      <c r="F21" s="147"/>
    </row>
    <row r="22" spans="1:6" ht="12.75">
      <c r="A22" s="131" t="s">
        <v>93</v>
      </c>
      <c r="B22" s="145">
        <v>3.2E-05</v>
      </c>
      <c r="C22" s="146">
        <f t="shared" si="0"/>
        <v>3.2458039215686274E-05</v>
      </c>
      <c r="D22" s="146">
        <f t="shared" si="1"/>
        <v>0.056300416501960784</v>
      </c>
      <c r="E22" s="146">
        <f t="shared" si="2"/>
        <v>0.07925268879939766</v>
      </c>
      <c r="F22" s="147"/>
    </row>
    <row r="23" spans="1:6" ht="12.75">
      <c r="A23" s="131" t="s">
        <v>94</v>
      </c>
      <c r="B23" s="148">
        <v>0.00071</v>
      </c>
      <c r="C23" s="146">
        <f t="shared" si="0"/>
        <v>0.0007201627450980391</v>
      </c>
      <c r="D23" s="146">
        <f t="shared" si="1"/>
        <v>1.2491654911372547</v>
      </c>
      <c r="E23" s="146">
        <f t="shared" si="2"/>
        <v>1.7584190327366351</v>
      </c>
      <c r="F23" s="147"/>
    </row>
    <row r="24" spans="1:6" ht="12.75">
      <c r="A24" s="131" t="s">
        <v>96</v>
      </c>
      <c r="B24" s="145">
        <v>1.3E-06</v>
      </c>
      <c r="C24" s="146">
        <f t="shared" si="0"/>
        <v>1.3186078431372548E-06</v>
      </c>
      <c r="D24" s="146">
        <f t="shared" si="1"/>
        <v>0.0022872044203921566</v>
      </c>
      <c r="E24" s="146">
        <f t="shared" si="2"/>
        <v>0.0032196404824755293</v>
      </c>
      <c r="F24" s="147"/>
    </row>
    <row r="25" spans="1:6" ht="12.75" customHeight="1">
      <c r="A25" s="131" t="s">
        <v>105</v>
      </c>
      <c r="B25" s="145">
        <v>2.2E-06</v>
      </c>
      <c r="C25" s="146">
        <f t="shared" si="0"/>
        <v>2.231490196078431E-06</v>
      </c>
      <c r="D25" s="146">
        <f t="shared" si="1"/>
        <v>0.0038706536345098036</v>
      </c>
      <c r="E25" s="146">
        <f t="shared" si="2"/>
        <v>0.005448622354958589</v>
      </c>
      <c r="F25" s="147"/>
    </row>
    <row r="26" spans="1:6" ht="12.75">
      <c r="A26" s="131" t="s">
        <v>97</v>
      </c>
      <c r="B26" s="145">
        <v>0.00013</v>
      </c>
      <c r="C26" s="146">
        <f t="shared" si="0"/>
        <v>0.00013186078431372546</v>
      </c>
      <c r="D26" s="146">
        <f>C26*$B$4</f>
        <v>0.22872044203921563</v>
      </c>
      <c r="E26" s="146">
        <f t="shared" si="2"/>
        <v>0.3219640482475529</v>
      </c>
      <c r="F26" s="147"/>
    </row>
    <row r="27" spans="1:6" ht="12.75">
      <c r="A27" s="131" t="s">
        <v>106</v>
      </c>
      <c r="B27" s="145">
        <v>6.4E-05</v>
      </c>
      <c r="C27" s="146">
        <f t="shared" si="0"/>
        <v>6.491607843137255E-05</v>
      </c>
      <c r="D27" s="146">
        <f>C27*$B$4</f>
        <v>0.11260083300392157</v>
      </c>
      <c r="E27" s="146">
        <f t="shared" si="2"/>
        <v>0.15850537759879532</v>
      </c>
      <c r="F27"/>
    </row>
    <row r="28" spans="1:9" ht="32.25" customHeight="1">
      <c r="A28" s="708" t="s">
        <v>339</v>
      </c>
      <c r="B28" s="708"/>
      <c r="C28" s="708"/>
      <c r="D28" s="708"/>
      <c r="E28" s="708"/>
      <c r="F28"/>
      <c r="G28"/>
      <c r="H28"/>
      <c r="I28"/>
    </row>
    <row r="29" spans="1:9" ht="14.25">
      <c r="A29" s="707"/>
      <c r="B29" s="707"/>
      <c r="C29" s="707"/>
      <c r="D29" s="707"/>
      <c r="E29" s="707"/>
      <c r="F29" s="707"/>
      <c r="G29" s="707"/>
      <c r="H29" s="236"/>
      <c r="I29" s="236"/>
    </row>
    <row r="30" spans="1:2" ht="12.75">
      <c r="A30" s="26"/>
      <c r="B30" s="149"/>
    </row>
  </sheetData>
  <sheetProtection/>
  <mergeCells count="8">
    <mergeCell ref="A29:G29"/>
    <mergeCell ref="A28:E28"/>
    <mergeCell ref="A1:F1"/>
    <mergeCell ref="A9:B9"/>
    <mergeCell ref="A13:B13"/>
    <mergeCell ref="A12:B12"/>
    <mergeCell ref="A7:B7"/>
    <mergeCell ref="A16:B16"/>
  </mergeCells>
  <printOptions horizontalCentered="1"/>
  <pageMargins left="0.75" right="0.75" top="1" bottom="1" header="0.5" footer="0.5"/>
  <pageSetup fitToHeight="0" fitToWidth="1" horizontalDpi="300" verticalDpi="300" orientation="landscape" scale="96" r:id="rId2"/>
  <headerFooter alignWithMargins="0">
    <oddFooter>&amp;L&amp;D
&amp;C&amp;P of &amp;N&amp;R&amp;A</oddFooter>
  </headerFooter>
  <rowBreaks count="1" manualBreakCount="1">
    <brk id="29" max="255" man="1"/>
  </rowBreaks>
  <drawing r:id="rId1"/>
</worksheet>
</file>

<file path=xl/worksheets/sheet14.xml><?xml version="1.0" encoding="utf-8"?>
<worksheet xmlns="http://schemas.openxmlformats.org/spreadsheetml/2006/main" xmlns:r="http://schemas.openxmlformats.org/officeDocument/2006/relationships">
  <dimension ref="A1:G54"/>
  <sheetViews>
    <sheetView zoomScaleSheetLayoutView="100" zoomScalePageLayoutView="0" workbookViewId="0" topLeftCell="A1">
      <selection activeCell="E27" sqref="E27"/>
    </sheetView>
  </sheetViews>
  <sheetFormatPr defaultColWidth="11.421875" defaultRowHeight="12.75"/>
  <cols>
    <col min="1" max="1" width="32.7109375" style="66" customWidth="1"/>
    <col min="2" max="2" width="14.140625" style="66" customWidth="1"/>
    <col min="3" max="3" width="13.28125" style="66" customWidth="1"/>
    <col min="4" max="4" width="18.28125" style="66" customWidth="1"/>
    <col min="5" max="5" width="17.421875" style="66" customWidth="1"/>
    <col min="6" max="6" width="20.140625" style="66" customWidth="1"/>
    <col min="7" max="7" width="15.28125" style="66" customWidth="1"/>
    <col min="8" max="16384" width="11.421875" style="66" customWidth="1"/>
  </cols>
  <sheetData>
    <row r="1" spans="1:7" ht="35.25" customHeight="1">
      <c r="A1" s="672" t="s">
        <v>310</v>
      </c>
      <c r="B1" s="673"/>
      <c r="C1" s="673"/>
      <c r="D1" s="673"/>
      <c r="E1" s="673"/>
      <c r="F1" s="673"/>
      <c r="G1" s="673"/>
    </row>
    <row r="2" spans="1:6" ht="15.75">
      <c r="A2" s="240"/>
      <c r="B2" s="240"/>
      <c r="C2" s="240"/>
      <c r="D2" s="240"/>
      <c r="F2" s="240"/>
    </row>
    <row r="3" spans="1:6" ht="15.75">
      <c r="A3" s="73" t="s">
        <v>283</v>
      </c>
      <c r="B3" s="238">
        <f>'Bowie Sources'!B20</f>
        <v>1034.6</v>
      </c>
      <c r="C3" s="55" t="s">
        <v>216</v>
      </c>
      <c r="F3" s="240"/>
    </row>
    <row r="4" spans="1:3" ht="11.25" customHeight="1">
      <c r="A4" s="715" t="s">
        <v>76</v>
      </c>
      <c r="B4" s="76">
        <f>'Bowie Sources'!C6</f>
        <v>420</v>
      </c>
      <c r="C4" s="55" t="s">
        <v>38</v>
      </c>
    </row>
    <row r="5" spans="1:6" ht="11.25" customHeight="1">
      <c r="A5" s="716"/>
      <c r="B5" s="75">
        <f>'Turbine and DB Heat Input'!D30</f>
        <v>1774080</v>
      </c>
      <c r="C5" s="55" t="s">
        <v>127</v>
      </c>
      <c r="D5" s="714" t="s">
        <v>273</v>
      </c>
      <c r="E5" s="714"/>
      <c r="F5" s="11"/>
    </row>
    <row r="6" spans="1:6" ht="11.25" customHeight="1">
      <c r="A6" s="717"/>
      <c r="B6" s="99">
        <f>'Turbine and DB Heat Input'!D31</f>
        <v>3548160</v>
      </c>
      <c r="C6" s="55" t="s">
        <v>127</v>
      </c>
      <c r="D6" s="714" t="s">
        <v>269</v>
      </c>
      <c r="E6" s="714"/>
      <c r="F6" s="11"/>
    </row>
    <row r="7" spans="1:2" ht="12.75">
      <c r="A7" s="55" t="s">
        <v>85</v>
      </c>
      <c r="B7" s="96">
        <f>'Bowie Sources'!D16</f>
        <v>0.7</v>
      </c>
    </row>
    <row r="8" spans="2:6" ht="12.75">
      <c r="B8" s="254"/>
      <c r="F8" s="241"/>
    </row>
    <row r="9" spans="1:5" ht="65.25">
      <c r="A9" s="245" t="s">
        <v>103</v>
      </c>
      <c r="B9" s="39" t="s">
        <v>39</v>
      </c>
      <c r="C9" s="39" t="s">
        <v>358</v>
      </c>
      <c r="D9" s="39" t="s">
        <v>378</v>
      </c>
      <c r="E9" s="39" t="s">
        <v>359</v>
      </c>
    </row>
    <row r="10" spans="1:5" ht="12.75">
      <c r="A10" s="47" t="s">
        <v>117</v>
      </c>
      <c r="B10" s="255">
        <v>0.0002</v>
      </c>
      <c r="C10" s="255">
        <f>B10/$B$3</f>
        <v>1.933114247052001E-07</v>
      </c>
      <c r="D10" s="255">
        <f>C10*$B$4</f>
        <v>8.119079837618404E-05</v>
      </c>
      <c r="E10" s="256">
        <f>C10*$B$5/2000</f>
        <v>0.00017147496617050067</v>
      </c>
    </row>
    <row r="11" spans="1:5" ht="13.5" customHeight="1">
      <c r="A11" s="55" t="s">
        <v>209</v>
      </c>
      <c r="B11" s="257">
        <v>0.0021</v>
      </c>
      <c r="C11" s="255">
        <f aca="true" t="shared" si="0" ref="C11:C24">B11/$B$3</f>
        <v>2.029769959404601E-06</v>
      </c>
      <c r="D11" s="255">
        <f aca="true" t="shared" si="1" ref="D11:D24">C11*$B$4</f>
        <v>0.0008525033829499324</v>
      </c>
      <c r="E11" s="256">
        <f>C11*$B$5*(1-$B$7)/2000</f>
        <v>0.0005401461434370772</v>
      </c>
    </row>
    <row r="12" spans="1:5" ht="13.5" customHeight="1">
      <c r="A12" s="55" t="s">
        <v>125</v>
      </c>
      <c r="B12" s="257">
        <v>0.0011</v>
      </c>
      <c r="C12" s="255">
        <f t="shared" si="0"/>
        <v>1.0632128358786005E-06</v>
      </c>
      <c r="D12" s="255">
        <f t="shared" si="1"/>
        <v>0.0004465493910690122</v>
      </c>
      <c r="E12" s="256">
        <f>C12*$B$5/2000</f>
        <v>0.0009431123139377538</v>
      </c>
    </row>
    <row r="13" spans="1:5" ht="13.5" customHeight="1">
      <c r="A13" s="55" t="s">
        <v>5</v>
      </c>
      <c r="B13" s="257">
        <v>0.0014</v>
      </c>
      <c r="C13" s="255">
        <f t="shared" si="0"/>
        <v>1.3531799729364006E-06</v>
      </c>
      <c r="D13" s="255">
        <f t="shared" si="1"/>
        <v>0.0005683355886332883</v>
      </c>
      <c r="E13" s="256">
        <f>C13*$B$5/2000</f>
        <v>0.0012003247631935047</v>
      </c>
    </row>
    <row r="14" spans="1:5" ht="13.5" customHeight="1">
      <c r="A14" s="55" t="s">
        <v>6</v>
      </c>
      <c r="B14" s="257">
        <v>8.4E-05</v>
      </c>
      <c r="C14" s="255">
        <f t="shared" si="0"/>
        <v>8.119079837618403E-08</v>
      </c>
      <c r="D14" s="255">
        <f t="shared" si="1"/>
        <v>3.4100135317997295E-05</v>
      </c>
      <c r="E14" s="256">
        <f>C14*$B$5/2000</f>
        <v>7.201948579161028E-05</v>
      </c>
    </row>
    <row r="15" spans="1:5" ht="13.5" customHeight="1">
      <c r="A15" s="55" t="s">
        <v>139</v>
      </c>
      <c r="B15" s="257">
        <v>0.0012</v>
      </c>
      <c r="C15" s="255">
        <f t="shared" si="0"/>
        <v>1.1598685482312006E-06</v>
      </c>
      <c r="D15" s="255">
        <f t="shared" si="1"/>
        <v>0.00048714479025710423</v>
      </c>
      <c r="E15" s="256">
        <f>C15*$B$5*(1-$B$7)/2000</f>
        <v>0.0003086549391069013</v>
      </c>
    </row>
    <row r="16" spans="1:5" ht="12.75">
      <c r="A16" s="55" t="s">
        <v>94</v>
      </c>
      <c r="B16" s="257">
        <v>0.075</v>
      </c>
      <c r="C16" s="255">
        <f t="shared" si="0"/>
        <v>7.249178426445003E-05</v>
      </c>
      <c r="D16" s="255">
        <f t="shared" si="1"/>
        <v>0.030446549391069014</v>
      </c>
      <c r="E16" s="256">
        <f>C16*$B$5*(1-$B$7)/2000</f>
        <v>0.01929093369418133</v>
      </c>
    </row>
    <row r="17" spans="1:5" ht="12.75">
      <c r="A17" s="55" t="s">
        <v>110</v>
      </c>
      <c r="B17" s="257">
        <v>1.8</v>
      </c>
      <c r="C17" s="255">
        <f t="shared" si="0"/>
        <v>0.0017398028223468008</v>
      </c>
      <c r="D17" s="255">
        <f t="shared" si="1"/>
        <v>0.7307171853856563</v>
      </c>
      <c r="E17" s="256">
        <f>C17*$B$5*(1-$B$7)/2000</f>
        <v>0.46298240866035195</v>
      </c>
    </row>
    <row r="18" spans="1:5" ht="12.75">
      <c r="A18" s="55" t="s">
        <v>28</v>
      </c>
      <c r="B18" s="265">
        <v>0.0005</v>
      </c>
      <c r="C18" s="255">
        <f t="shared" si="0"/>
        <v>4.832785617630002E-07</v>
      </c>
      <c r="D18" s="255">
        <f t="shared" si="1"/>
        <v>0.0002029769959404601</v>
      </c>
      <c r="E18" s="256">
        <f>C18*$B$5/2000</f>
        <v>0.0004286874154262517</v>
      </c>
    </row>
    <row r="19" spans="1:5" ht="12.75">
      <c r="A19" s="55" t="s">
        <v>7</v>
      </c>
      <c r="B19" s="257">
        <v>0.00038</v>
      </c>
      <c r="C19" s="255">
        <f t="shared" si="0"/>
        <v>3.672917069398802E-07</v>
      </c>
      <c r="D19" s="255">
        <f t="shared" si="1"/>
        <v>0.00015426251691474967</v>
      </c>
      <c r="E19" s="256">
        <f>C19*$B$5/2000</f>
        <v>0.00032580243572395137</v>
      </c>
    </row>
    <row r="20" spans="1:5" ht="12.75">
      <c r="A20" s="55" t="s">
        <v>95</v>
      </c>
      <c r="B20" s="257">
        <v>0.00026</v>
      </c>
      <c r="C20" s="255">
        <f t="shared" si="0"/>
        <v>2.513048521167601E-07</v>
      </c>
      <c r="D20" s="255">
        <f t="shared" si="1"/>
        <v>0.00010554803788903925</v>
      </c>
      <c r="E20" s="256">
        <f>C20*$B$5/2000</f>
        <v>0.00022291745602165088</v>
      </c>
    </row>
    <row r="21" spans="1:5" ht="12.75">
      <c r="A21" s="55" t="s">
        <v>96</v>
      </c>
      <c r="B21" s="257">
        <v>0.00061</v>
      </c>
      <c r="C21" s="255">
        <f t="shared" si="0"/>
        <v>5.895998453508602E-07</v>
      </c>
      <c r="D21" s="255">
        <f t="shared" si="1"/>
        <v>0.0002476319350473613</v>
      </c>
      <c r="E21" s="256">
        <f>C21*$B$5*(1-$B$7)/2000</f>
        <v>0.00015689959404600813</v>
      </c>
    </row>
    <row r="22" spans="1:5" ht="12.75">
      <c r="A22" s="55" t="s">
        <v>8</v>
      </c>
      <c r="B22" s="257">
        <v>0.0021</v>
      </c>
      <c r="C22" s="255">
        <f t="shared" si="0"/>
        <v>2.029769959404601E-06</v>
      </c>
      <c r="D22" s="255">
        <f t="shared" si="1"/>
        <v>0.0008525033829499324</v>
      </c>
      <c r="E22" s="256">
        <f>C22*$B$5/2000</f>
        <v>0.0018004871447902574</v>
      </c>
    </row>
    <row r="23" spans="1:5" ht="12.75">
      <c r="A23" s="55" t="s">
        <v>111</v>
      </c>
      <c r="B23" s="258">
        <f>B32</f>
        <v>5.18E-05</v>
      </c>
      <c r="C23" s="255">
        <f t="shared" si="0"/>
        <v>5.006765899864682E-08</v>
      </c>
      <c r="D23" s="255">
        <f t="shared" si="1"/>
        <v>2.1028416779431665E-05</v>
      </c>
      <c r="E23" s="256">
        <f>C23*$B$5*(1-$B$7)/2000</f>
        <v>1.3323604871447906E-05</v>
      </c>
    </row>
    <row r="24" spans="1:5" ht="12.75">
      <c r="A24" s="55" t="s">
        <v>97</v>
      </c>
      <c r="B24" s="257">
        <v>0.0034</v>
      </c>
      <c r="C24" s="255">
        <f t="shared" si="0"/>
        <v>3.2862942199884016E-06</v>
      </c>
      <c r="D24" s="255">
        <f t="shared" si="1"/>
        <v>0.0013802435723951287</v>
      </c>
      <c r="E24" s="256">
        <f>C24*$B$5*(1-$B$7)/2000</f>
        <v>0.0008745223274695536</v>
      </c>
    </row>
    <row r="25" spans="3:6" ht="12.75">
      <c r="C25" s="259"/>
      <c r="D25" s="259"/>
      <c r="E25" s="120"/>
      <c r="F25" s="260"/>
    </row>
    <row r="26" spans="1:7" ht="12.75">
      <c r="A26" s="245" t="s">
        <v>111</v>
      </c>
      <c r="B26" s="70" t="s">
        <v>40</v>
      </c>
      <c r="C26" s="11"/>
      <c r="D26" s="11"/>
      <c r="E26" s="261"/>
      <c r="F26" s="261"/>
      <c r="G26" s="261"/>
    </row>
    <row r="27" spans="1:7" ht="12.75">
      <c r="A27" s="47" t="s">
        <v>112</v>
      </c>
      <c r="B27" s="257">
        <v>2.4E-05</v>
      </c>
      <c r="C27" s="11"/>
      <c r="D27" s="11"/>
      <c r="E27" s="120"/>
      <c r="F27" s="120"/>
      <c r="G27" s="260"/>
    </row>
    <row r="28" spans="1:4" ht="12.75">
      <c r="A28" s="47" t="s">
        <v>113</v>
      </c>
      <c r="B28" s="257">
        <v>3E-06</v>
      </c>
      <c r="C28" s="11"/>
      <c r="D28" s="11"/>
    </row>
    <row r="29" spans="1:4" ht="12.75">
      <c r="A29" s="47" t="s">
        <v>114</v>
      </c>
      <c r="B29" s="257">
        <v>2.8E-06</v>
      </c>
      <c r="C29" s="11"/>
      <c r="D29" s="11"/>
    </row>
    <row r="30" spans="1:4" ht="12.75">
      <c r="A30" s="47" t="s">
        <v>115</v>
      </c>
      <c r="B30" s="257">
        <v>1.7E-05</v>
      </c>
      <c r="C30" s="11"/>
      <c r="D30" s="11"/>
    </row>
    <row r="31" spans="1:4" ht="12.75">
      <c r="A31" s="47" t="s">
        <v>116</v>
      </c>
      <c r="B31" s="257">
        <v>5E-06</v>
      </c>
      <c r="C31" s="11"/>
      <c r="D31" s="11"/>
    </row>
    <row r="32" spans="1:4" ht="12.75">
      <c r="A32" s="47" t="s">
        <v>10</v>
      </c>
      <c r="B32" s="257">
        <f>SUM(B27:B31)</f>
        <v>5.18E-05</v>
      </c>
      <c r="C32" s="11"/>
      <c r="D32" s="11"/>
    </row>
    <row r="33" spans="1:6" ht="30" customHeight="1">
      <c r="A33" s="718" t="s">
        <v>623</v>
      </c>
      <c r="B33" s="718"/>
      <c r="C33" s="718"/>
      <c r="D33" s="718"/>
      <c r="E33" s="718"/>
      <c r="F33" s="262"/>
    </row>
    <row r="34" spans="1:6" ht="31.5" customHeight="1">
      <c r="A34" s="719" t="s">
        <v>624</v>
      </c>
      <c r="B34" s="719"/>
      <c r="C34" s="719"/>
      <c r="D34" s="719"/>
      <c r="E34" s="719"/>
      <c r="F34" s="253"/>
    </row>
    <row r="35" spans="1:6" ht="12.75">
      <c r="A35" s="27"/>
      <c r="B35" s="27"/>
      <c r="C35" s="263"/>
      <c r="D35" s="263"/>
      <c r="E35" s="263"/>
      <c r="F35" s="120"/>
    </row>
    <row r="36" spans="1:6" ht="12.75">
      <c r="A36" s="27"/>
      <c r="B36" s="27"/>
      <c r="C36" s="263"/>
      <c r="D36" s="263"/>
      <c r="E36" s="263"/>
      <c r="F36" s="120"/>
    </row>
    <row r="37" spans="1:6" ht="12.75">
      <c r="A37" s="27"/>
      <c r="B37" s="27"/>
      <c r="C37" s="263"/>
      <c r="D37" s="263"/>
      <c r="E37" s="263"/>
      <c r="F37" s="120"/>
    </row>
    <row r="38" spans="1:6" ht="12.75">
      <c r="A38" s="27"/>
      <c r="B38" s="27"/>
      <c r="C38" s="263"/>
      <c r="D38" s="263"/>
      <c r="E38" s="263"/>
      <c r="F38" s="120"/>
    </row>
    <row r="39" spans="1:6" ht="12.75">
      <c r="A39" s="27"/>
      <c r="B39" s="27"/>
      <c r="C39" s="263"/>
      <c r="D39" s="263"/>
      <c r="E39" s="263"/>
      <c r="F39" s="120"/>
    </row>
    <row r="40" spans="1:6" ht="12.75">
      <c r="A40" s="27"/>
      <c r="B40" s="27"/>
      <c r="C40" s="263"/>
      <c r="D40" s="263"/>
      <c r="E40" s="263"/>
      <c r="F40" s="120"/>
    </row>
    <row r="41" spans="1:6" ht="12.75">
      <c r="A41" s="27"/>
      <c r="B41" s="27"/>
      <c r="C41" s="263"/>
      <c r="D41" s="263"/>
      <c r="E41" s="263"/>
      <c r="F41" s="120"/>
    </row>
    <row r="42" spans="1:6" ht="12.75">
      <c r="A42" s="27"/>
      <c r="B42" s="27"/>
      <c r="C42" s="263"/>
      <c r="D42" s="263"/>
      <c r="E42" s="263"/>
      <c r="F42" s="120"/>
    </row>
    <row r="43" spans="1:6" ht="12.75">
      <c r="A43" s="27"/>
      <c r="B43" s="27"/>
      <c r="C43" s="263"/>
      <c r="D43" s="263"/>
      <c r="E43" s="263"/>
      <c r="F43" s="120"/>
    </row>
    <row r="44" spans="1:6" ht="12.75">
      <c r="A44" s="27"/>
      <c r="B44" s="27"/>
      <c r="C44" s="263"/>
      <c r="D44" s="263"/>
      <c r="E44" s="263"/>
      <c r="F44" s="120"/>
    </row>
    <row r="45" spans="1:6" ht="12.75" customHeight="1">
      <c r="A45" s="27"/>
      <c r="B45" s="27"/>
      <c r="C45" s="713"/>
      <c r="D45" s="713"/>
      <c r="E45" s="713"/>
      <c r="F45" s="120"/>
    </row>
    <row r="46" spans="1:6" ht="12.75" customHeight="1">
      <c r="A46" s="27"/>
      <c r="B46" s="27"/>
      <c r="C46" s="713"/>
      <c r="D46" s="713"/>
      <c r="E46" s="713"/>
      <c r="F46" s="120"/>
    </row>
    <row r="48" spans="1:6" ht="12.75">
      <c r="A48" s="27"/>
      <c r="B48" s="27"/>
      <c r="C48" s="263"/>
      <c r="D48" s="263"/>
      <c r="E48" s="263"/>
      <c r="F48" s="120"/>
    </row>
    <row r="49" spans="1:6" ht="12.75">
      <c r="A49" s="27"/>
      <c r="B49" s="27"/>
      <c r="C49" s="263"/>
      <c r="D49" s="263"/>
      <c r="E49" s="263"/>
      <c r="F49" s="120"/>
    </row>
    <row r="50" spans="1:6" ht="12.75">
      <c r="A50" s="27"/>
      <c r="B50" s="27"/>
      <c r="C50" s="263"/>
      <c r="D50" s="263"/>
      <c r="E50" s="263"/>
      <c r="F50" s="120"/>
    </row>
    <row r="51" spans="1:2" ht="12.75">
      <c r="A51" s="27"/>
      <c r="B51" s="27"/>
    </row>
    <row r="52" spans="1:2" ht="12.75">
      <c r="A52" s="27"/>
      <c r="B52" s="27"/>
    </row>
    <row r="53" spans="1:2" ht="12.75">
      <c r="A53" s="27"/>
      <c r="B53" s="27"/>
    </row>
    <row r="54" spans="1:2" ht="12.75">
      <c r="A54" s="27"/>
      <c r="B54" s="27"/>
    </row>
  </sheetData>
  <sheetProtection/>
  <mergeCells count="8">
    <mergeCell ref="A1:G1"/>
    <mergeCell ref="C45:E45"/>
    <mergeCell ref="C46:E46"/>
    <mergeCell ref="D5:E5"/>
    <mergeCell ref="D6:E6"/>
    <mergeCell ref="A4:A6"/>
    <mergeCell ref="A33:E33"/>
    <mergeCell ref="A34:E34"/>
  </mergeCells>
  <printOptions horizontalCentered="1"/>
  <pageMargins left="0.75" right="0.75" top="1" bottom="1" header="0.5" footer="0.5"/>
  <pageSetup fitToHeight="0" horizontalDpi="300" verticalDpi="300" orientation="landscape" scale="85" r:id="rId2"/>
  <headerFooter alignWithMargins="0">
    <oddFooter>&amp;L&amp;D
&amp;C&amp;P of &amp;N&amp;R&amp;A</oddFooter>
  </headerFooter>
  <rowBreaks count="1" manualBreakCount="1">
    <brk id="35" max="6" man="1"/>
  </rowBreaks>
  <drawing r:id="rId1"/>
</worksheet>
</file>

<file path=xl/worksheets/sheet15.xml><?xml version="1.0" encoding="utf-8"?>
<worksheet xmlns="http://schemas.openxmlformats.org/spreadsheetml/2006/main" xmlns:r="http://schemas.openxmlformats.org/officeDocument/2006/relationships">
  <dimension ref="A1:J48"/>
  <sheetViews>
    <sheetView zoomScalePageLayoutView="0" workbookViewId="0" topLeftCell="A1">
      <selection activeCell="A6" sqref="A6:G6"/>
    </sheetView>
  </sheetViews>
  <sheetFormatPr defaultColWidth="11.421875" defaultRowHeight="12.75"/>
  <cols>
    <col min="1" max="1" width="17.7109375" style="4" customWidth="1"/>
    <col min="2" max="2" width="15.421875" style="4" customWidth="1"/>
    <col min="3" max="3" width="16.00390625" style="4" customWidth="1"/>
    <col min="4" max="4" width="16.140625" style="4" customWidth="1"/>
    <col min="5" max="5" width="14.421875" style="4" customWidth="1"/>
    <col min="6" max="6" width="15.00390625" style="4" customWidth="1"/>
    <col min="7" max="7" width="15.421875" style="4" customWidth="1"/>
    <col min="8" max="16384" width="11.421875" style="4" customWidth="1"/>
  </cols>
  <sheetData>
    <row r="1" spans="1:8" ht="43.5" customHeight="1">
      <c r="A1" s="665" t="s">
        <v>367</v>
      </c>
      <c r="B1" s="665"/>
      <c r="C1" s="665"/>
      <c r="D1" s="665"/>
      <c r="E1" s="665"/>
      <c r="F1" s="665"/>
      <c r="G1" s="665"/>
      <c r="H1" s="30"/>
    </row>
    <row r="2" spans="1:8" ht="12.75">
      <c r="A2" s="697" t="s">
        <v>625</v>
      </c>
      <c r="B2" s="721"/>
      <c r="C2" s="721"/>
      <c r="D2" s="721"/>
      <c r="E2" s="721"/>
      <c r="F2" s="721"/>
      <c r="G2" s="721"/>
      <c r="H2" s="30"/>
    </row>
    <row r="3" spans="1:10" ht="33.75" customHeight="1">
      <c r="A3" s="697" t="s">
        <v>626</v>
      </c>
      <c r="B3" s="670"/>
      <c r="C3" s="670"/>
      <c r="D3" s="670"/>
      <c r="E3" s="670"/>
      <c r="F3" s="670"/>
      <c r="G3" s="670"/>
      <c r="I3" s="24"/>
      <c r="J3" s="24"/>
    </row>
    <row r="4" spans="1:10" ht="12.75">
      <c r="A4" s="697" t="s">
        <v>567</v>
      </c>
      <c r="B4" s="670"/>
      <c r="C4" s="670"/>
      <c r="D4" s="670"/>
      <c r="E4" s="670"/>
      <c r="F4" s="670"/>
      <c r="G4" s="670"/>
      <c r="I4" s="24"/>
      <c r="J4" s="24"/>
    </row>
    <row r="5" spans="1:10" ht="12.75">
      <c r="A5" s="670" t="s">
        <v>379</v>
      </c>
      <c r="B5" s="670"/>
      <c r="C5" s="670"/>
      <c r="D5" s="670"/>
      <c r="E5" s="670"/>
      <c r="F5" s="670"/>
      <c r="G5" s="670"/>
      <c r="I5" s="24"/>
      <c r="J5" s="24"/>
    </row>
    <row r="6" spans="1:10" ht="27.75" customHeight="1">
      <c r="A6" s="697" t="s">
        <v>627</v>
      </c>
      <c r="B6" s="670"/>
      <c r="C6" s="670"/>
      <c r="D6" s="670"/>
      <c r="E6" s="670"/>
      <c r="F6" s="670"/>
      <c r="G6" s="670"/>
      <c r="I6" s="24"/>
      <c r="J6" s="24"/>
    </row>
    <row r="7" spans="9:10" ht="12.75">
      <c r="I7" s="24"/>
      <c r="J7" s="24"/>
    </row>
    <row r="8" spans="1:8" ht="12.75" customHeight="1">
      <c r="A8" s="658" t="s">
        <v>347</v>
      </c>
      <c r="B8" s="658"/>
      <c r="C8" s="658"/>
      <c r="D8" s="658"/>
      <c r="E8" s="658"/>
      <c r="F8" s="658"/>
      <c r="G8" s="658"/>
      <c r="H8" s="24"/>
    </row>
    <row r="9" spans="1:8" ht="12.75">
      <c r="A9" s="249"/>
      <c r="B9" s="249"/>
      <c r="C9" s="249"/>
      <c r="D9" s="15"/>
      <c r="E9" s="15"/>
      <c r="H9" s="24"/>
    </row>
    <row r="10" spans="1:8" ht="12.75">
      <c r="A10" s="696" t="s">
        <v>350</v>
      </c>
      <c r="B10" s="696"/>
      <c r="C10" s="250">
        <f>'Bowie Sources'!D16</f>
        <v>0.7</v>
      </c>
      <c r="D10" s="15"/>
      <c r="E10" s="15"/>
      <c r="H10" s="24"/>
    </row>
    <row r="11" spans="1:8" ht="12.75">
      <c r="A11" s="249"/>
      <c r="B11" s="249"/>
      <c r="C11" s="249"/>
      <c r="D11" s="249"/>
      <c r="E11" s="249"/>
      <c r="H11" s="24"/>
    </row>
    <row r="12" spans="1:6" ht="93.75" customHeight="1">
      <c r="A12" s="39" t="s">
        <v>204</v>
      </c>
      <c r="B12" s="39" t="s">
        <v>568</v>
      </c>
      <c r="C12" s="39" t="s">
        <v>349</v>
      </c>
      <c r="D12" s="39" t="s">
        <v>348</v>
      </c>
      <c r="E12" s="39" t="s">
        <v>351</v>
      </c>
      <c r="F12" s="3"/>
    </row>
    <row r="13" spans="1:6" ht="12.75">
      <c r="A13" s="47" t="s">
        <v>208</v>
      </c>
      <c r="B13" s="251">
        <f>'Turbine HAP Emissions'!D19</f>
        <v>0.07037552062745098</v>
      </c>
      <c r="C13" s="252"/>
      <c r="D13" s="251">
        <f>(B13+C13)*(1-$C$10)</f>
        <v>0.021112656188235296</v>
      </c>
      <c r="E13" s="251">
        <f>MAX(B13,D13)</f>
        <v>0.07037552062745098</v>
      </c>
      <c r="F13" s="3"/>
    </row>
    <row r="14" spans="1:6" ht="12.75">
      <c r="A14" s="47" t="s">
        <v>104</v>
      </c>
      <c r="B14" s="251">
        <f>'Turbine HAP Emissions'!D20</f>
        <v>0.011260083300392156</v>
      </c>
      <c r="C14" s="252"/>
      <c r="D14" s="251">
        <f>(B14+C14)*(1-$C$10)</f>
        <v>0.0033780249901176475</v>
      </c>
      <c r="E14" s="251">
        <f>MAX(B14,D14)</f>
        <v>0.011260083300392156</v>
      </c>
      <c r="F14" s="246"/>
    </row>
    <row r="15" spans="1:6" ht="12.75">
      <c r="A15" s="47" t="s">
        <v>209</v>
      </c>
      <c r="B15" s="251">
        <f>'Turbine HAP Emissions'!D21</f>
        <v>0.021112656188235292</v>
      </c>
      <c r="C15" s="251">
        <f>'Duct Burner HAP Emissions'!D11</f>
        <v>0.0008525033829499324</v>
      </c>
      <c r="D15" s="251">
        <f>(B15+C15)*(1-$C$10)</f>
        <v>0.006589547871355569</v>
      </c>
      <c r="E15" s="251">
        <f>MAX(B15,D15)</f>
        <v>0.021112656188235292</v>
      </c>
      <c r="F15" s="246"/>
    </row>
    <row r="16" spans="1:6" ht="12.75">
      <c r="A16" s="47" t="s">
        <v>139</v>
      </c>
      <c r="B16" s="252"/>
      <c r="C16" s="251">
        <f>'Duct Burner HAP Emissions'!D15</f>
        <v>0.00048714479025710423</v>
      </c>
      <c r="D16" s="251">
        <f aca="true" t="shared" si="0" ref="D16:D23">(B16+C16)*(1-$C$10)</f>
        <v>0.0001461434370771313</v>
      </c>
      <c r="E16" s="251">
        <f aca="true" t="shared" si="1" ref="E16:E23">MAX(B16,D16)</f>
        <v>0.0001461434370771313</v>
      </c>
      <c r="F16" s="246"/>
    </row>
    <row r="17" spans="1:6" ht="12.75">
      <c r="A17" s="47" t="s">
        <v>93</v>
      </c>
      <c r="B17" s="251">
        <f>'Turbine HAP Emissions'!D22</f>
        <v>0.056300416501960784</v>
      </c>
      <c r="C17" s="252"/>
      <c r="D17" s="251">
        <f t="shared" si="0"/>
        <v>0.01689012495058824</v>
      </c>
      <c r="E17" s="251">
        <f t="shared" si="1"/>
        <v>0.056300416501960784</v>
      </c>
      <c r="F17" s="246"/>
    </row>
    <row r="18" spans="1:6" ht="12.75">
      <c r="A18" s="47" t="s">
        <v>94</v>
      </c>
      <c r="B18" s="251">
        <f>'Turbine HAP Emissions'!D23</f>
        <v>1.2491654911372547</v>
      </c>
      <c r="C18" s="251">
        <f>'Duct Burner HAP Emissions'!D16</f>
        <v>0.030446549391069014</v>
      </c>
      <c r="D18" s="251">
        <f t="shared" si="0"/>
        <v>0.3838836121584972</v>
      </c>
      <c r="E18" s="251">
        <f t="shared" si="1"/>
        <v>1.2491654911372547</v>
      </c>
      <c r="F18" s="246"/>
    </row>
    <row r="19" spans="1:6" ht="12.75">
      <c r="A19" s="47" t="s">
        <v>110</v>
      </c>
      <c r="B19" s="252"/>
      <c r="C19" s="251">
        <f>'Duct Burner HAP Emissions'!D17</f>
        <v>0.7307171853856563</v>
      </c>
      <c r="D19" s="251">
        <f t="shared" si="0"/>
        <v>0.21921515561569693</v>
      </c>
      <c r="E19" s="251">
        <f t="shared" si="1"/>
        <v>0.21921515561569693</v>
      </c>
      <c r="F19" s="246"/>
    </row>
    <row r="20" spans="1:6" ht="12.75">
      <c r="A20" s="47" t="s">
        <v>96</v>
      </c>
      <c r="B20" s="251">
        <f>'Turbine HAP Emissions'!D24</f>
        <v>0.0022872044203921566</v>
      </c>
      <c r="C20" s="251">
        <f>'Duct Burner HAP Emissions'!D21</f>
        <v>0.0002476319350473613</v>
      </c>
      <c r="D20" s="251">
        <f t="shared" si="0"/>
        <v>0.0007604509066318555</v>
      </c>
      <c r="E20" s="251">
        <f t="shared" si="1"/>
        <v>0.0022872044203921566</v>
      </c>
      <c r="F20" s="247"/>
    </row>
    <row r="21" spans="1:6" ht="14.25">
      <c r="A21" s="47" t="s">
        <v>357</v>
      </c>
      <c r="B21" s="251">
        <f>'Turbine HAP Emissions'!D25</f>
        <v>0.0038706536345098036</v>
      </c>
      <c r="C21" s="251">
        <f>'Duct Burner HAP Emissions'!D23</f>
        <v>2.1028416779431665E-05</v>
      </c>
      <c r="D21" s="251">
        <f t="shared" si="0"/>
        <v>0.0011675046153867706</v>
      </c>
      <c r="E21" s="251">
        <f t="shared" si="1"/>
        <v>0.0038706536345098036</v>
      </c>
      <c r="F21" s="246"/>
    </row>
    <row r="22" spans="1:6" ht="12.75">
      <c r="A22" s="47" t="s">
        <v>97</v>
      </c>
      <c r="B22" s="251">
        <f>'Turbine HAP Emissions'!D26</f>
        <v>0.22872044203921563</v>
      </c>
      <c r="C22" s="251">
        <f>'Duct Burner HAP Emissions'!D24</f>
        <v>0.0013802435723951287</v>
      </c>
      <c r="D22" s="251">
        <f t="shared" si="0"/>
        <v>0.06903020568348324</v>
      </c>
      <c r="E22" s="251">
        <f t="shared" si="1"/>
        <v>0.22872044203921563</v>
      </c>
      <c r="F22" s="246"/>
    </row>
    <row r="23" spans="1:6" ht="12.75">
      <c r="A23" s="47" t="s">
        <v>13</v>
      </c>
      <c r="B23" s="251">
        <f>'Turbine HAP Emissions'!D27</f>
        <v>0.11260083300392157</v>
      </c>
      <c r="C23" s="252"/>
      <c r="D23" s="251">
        <f t="shared" si="0"/>
        <v>0.03378024990117648</v>
      </c>
      <c r="E23" s="251">
        <f t="shared" si="1"/>
        <v>0.11260083300392157</v>
      </c>
      <c r="F23" s="246"/>
    </row>
    <row r="24" spans="1:5" ht="14.25">
      <c r="A24" s="720" t="s">
        <v>356</v>
      </c>
      <c r="B24" s="720"/>
      <c r="C24" s="15"/>
      <c r="D24" s="15"/>
      <c r="E24" s="15"/>
    </row>
    <row r="25" spans="1:5" ht="12.75">
      <c r="A25" s="15"/>
      <c r="B25" s="15"/>
      <c r="C25" s="15"/>
      <c r="D25" s="15"/>
      <c r="E25" s="15"/>
    </row>
    <row r="26" spans="1:5" ht="12.75">
      <c r="A26" s="722" t="s">
        <v>361</v>
      </c>
      <c r="B26" s="722"/>
      <c r="C26" s="722"/>
      <c r="D26" s="722"/>
      <c r="E26" s="15"/>
    </row>
    <row r="27" spans="1:5" ht="57.75" customHeight="1">
      <c r="A27" s="39" t="s">
        <v>204</v>
      </c>
      <c r="B27" s="39" t="s">
        <v>355</v>
      </c>
      <c r="C27" s="39" t="s">
        <v>352</v>
      </c>
      <c r="D27" s="39" t="s">
        <v>353</v>
      </c>
      <c r="E27" s="39" t="s">
        <v>354</v>
      </c>
    </row>
    <row r="28" spans="1:5" ht="12.75">
      <c r="A28" s="47" t="s">
        <v>208</v>
      </c>
      <c r="B28" s="248">
        <f>E13</f>
        <v>0.07037552062745098</v>
      </c>
      <c r="C28" s="248">
        <f>'Turbine HAP Emissions'!E19</f>
        <v>0.09906586099924707</v>
      </c>
      <c r="D28" s="264"/>
      <c r="E28" s="248">
        <f>C28+D28</f>
        <v>0.09906586099924707</v>
      </c>
    </row>
    <row r="29" spans="1:5" ht="12.75">
      <c r="A29" s="47" t="s">
        <v>104</v>
      </c>
      <c r="B29" s="248">
        <f>E14</f>
        <v>0.011260083300392156</v>
      </c>
      <c r="C29" s="248">
        <f>'Turbine HAP Emissions'!E20</f>
        <v>0.015850537759879532</v>
      </c>
      <c r="D29" s="264"/>
      <c r="E29" s="248">
        <f aca="true" t="shared" si="2" ref="E29:E46">C29+D29</f>
        <v>0.015850537759879532</v>
      </c>
    </row>
    <row r="30" spans="1:5" ht="12.75">
      <c r="A30" s="47" t="s">
        <v>117</v>
      </c>
      <c r="B30" s="248">
        <f>'Duct Burner HAP Emissions'!D10</f>
        <v>8.119079837618404E-05</v>
      </c>
      <c r="C30" s="264"/>
      <c r="D30" s="248">
        <f>'Duct Burner HAP Emissions'!E10</f>
        <v>0.00017147496617050067</v>
      </c>
      <c r="E30" s="248">
        <f t="shared" si="2"/>
        <v>0.00017147496617050067</v>
      </c>
    </row>
    <row r="31" spans="1:5" ht="12.75">
      <c r="A31" s="47" t="s">
        <v>209</v>
      </c>
      <c r="B31" s="248">
        <f>E15</f>
        <v>0.021112656188235292</v>
      </c>
      <c r="C31" s="248">
        <f>'Turbine HAP Emissions'!E21</f>
        <v>0.02971975829977412</v>
      </c>
      <c r="D31" s="248">
        <f>'Duct Burner HAP Emissions'!E11</f>
        <v>0.0005401461434370772</v>
      </c>
      <c r="E31" s="248">
        <f t="shared" si="2"/>
        <v>0.030259904443211198</v>
      </c>
    </row>
    <row r="32" spans="1:5" ht="12.75">
      <c r="A32" s="47" t="s">
        <v>4</v>
      </c>
      <c r="B32" s="248">
        <f>'Duct Burner HAP Emissions'!D12</f>
        <v>0.0004465493910690122</v>
      </c>
      <c r="C32" s="264"/>
      <c r="D32" s="248">
        <f>'Duct Burner HAP Emissions'!E12</f>
        <v>0.0009431123139377538</v>
      </c>
      <c r="E32" s="248">
        <f t="shared" si="2"/>
        <v>0.0009431123139377538</v>
      </c>
    </row>
    <row r="33" spans="1:5" ht="12.75">
      <c r="A33" s="47" t="s">
        <v>5</v>
      </c>
      <c r="B33" s="248">
        <f>'Duct Burner HAP Emissions'!D13</f>
        <v>0.0005683355886332883</v>
      </c>
      <c r="C33" s="264"/>
      <c r="D33" s="248">
        <f>'Duct Burner HAP Emissions'!E13</f>
        <v>0.0012003247631935047</v>
      </c>
      <c r="E33" s="248">
        <f t="shared" si="2"/>
        <v>0.0012003247631935047</v>
      </c>
    </row>
    <row r="34" spans="1:5" ht="12.75">
      <c r="A34" s="47" t="s">
        <v>6</v>
      </c>
      <c r="B34" s="248">
        <f>'Duct Burner HAP Emissions'!D14</f>
        <v>3.4100135317997295E-05</v>
      </c>
      <c r="C34" s="264"/>
      <c r="D34" s="248">
        <f>'Duct Burner HAP Emissions'!E14</f>
        <v>7.201948579161028E-05</v>
      </c>
      <c r="E34" s="248">
        <f t="shared" si="2"/>
        <v>7.201948579161028E-05</v>
      </c>
    </row>
    <row r="35" spans="1:5" ht="12.75">
      <c r="A35" s="47" t="s">
        <v>139</v>
      </c>
      <c r="B35" s="248">
        <f>E16</f>
        <v>0.0001461434370771313</v>
      </c>
      <c r="C35" s="264"/>
      <c r="D35" s="248">
        <f>'Duct Burner HAP Emissions'!E15</f>
        <v>0.0003086549391069013</v>
      </c>
      <c r="E35" s="248">
        <f t="shared" si="2"/>
        <v>0.0003086549391069013</v>
      </c>
    </row>
    <row r="36" spans="1:5" ht="12.75">
      <c r="A36" s="47" t="s">
        <v>93</v>
      </c>
      <c r="B36" s="248">
        <f>E17</f>
        <v>0.056300416501960784</v>
      </c>
      <c r="C36" s="248">
        <f>'Turbine HAP Emissions'!E22</f>
        <v>0.07925268879939766</v>
      </c>
      <c r="D36" s="264"/>
      <c r="E36" s="248">
        <f t="shared" si="2"/>
        <v>0.07925268879939766</v>
      </c>
    </row>
    <row r="37" spans="1:5" ht="12.75">
      <c r="A37" s="47" t="s">
        <v>94</v>
      </c>
      <c r="B37" s="248">
        <f>E18</f>
        <v>1.2491654911372547</v>
      </c>
      <c r="C37" s="248">
        <f>'Turbine HAP Emissions'!E23</f>
        <v>1.7584190327366351</v>
      </c>
      <c r="D37" s="248">
        <f>'Duct Burner HAP Emissions'!E16</f>
        <v>0.01929093369418133</v>
      </c>
      <c r="E37" s="248">
        <f t="shared" si="2"/>
        <v>1.7777099664308165</v>
      </c>
    </row>
    <row r="38" spans="1:5" ht="12.75">
      <c r="A38" s="47" t="s">
        <v>110</v>
      </c>
      <c r="B38" s="248">
        <f>E19</f>
        <v>0.21921515561569693</v>
      </c>
      <c r="C38" s="266"/>
      <c r="D38" s="248">
        <f>'Duct Burner HAP Emissions'!E17</f>
        <v>0.46298240866035195</v>
      </c>
      <c r="E38" s="248">
        <f t="shared" si="2"/>
        <v>0.46298240866035195</v>
      </c>
    </row>
    <row r="39" spans="1:5" ht="12.75">
      <c r="A39" s="47" t="s">
        <v>28</v>
      </c>
      <c r="B39" s="248">
        <f>'Duct Burner HAP Emissions'!D18</f>
        <v>0.0002029769959404601</v>
      </c>
      <c r="C39" s="264"/>
      <c r="D39" s="248">
        <f>'Duct Burner HAP Emissions'!E18</f>
        <v>0.0004286874154262517</v>
      </c>
      <c r="E39" s="248">
        <f t="shared" si="2"/>
        <v>0.0004286874154262517</v>
      </c>
    </row>
    <row r="40" spans="1:5" ht="12.75">
      <c r="A40" s="47" t="s">
        <v>7</v>
      </c>
      <c r="B40" s="248">
        <f>'Duct Burner HAP Emissions'!D19</f>
        <v>0.00015426251691474967</v>
      </c>
      <c r="C40" s="264"/>
      <c r="D40" s="248">
        <f>'Duct Burner HAP Emissions'!E19</f>
        <v>0.00032580243572395137</v>
      </c>
      <c r="E40" s="248">
        <f t="shared" si="2"/>
        <v>0.00032580243572395137</v>
      </c>
    </row>
    <row r="41" spans="1:5" ht="12.75">
      <c r="A41" s="47" t="s">
        <v>95</v>
      </c>
      <c r="B41" s="248">
        <f>'Duct Burner HAP Emissions'!D20</f>
        <v>0.00010554803788903925</v>
      </c>
      <c r="C41" s="264"/>
      <c r="D41" s="248">
        <f>'Duct Burner HAP Emissions'!E20</f>
        <v>0.00022291745602165088</v>
      </c>
      <c r="E41" s="248">
        <f t="shared" si="2"/>
        <v>0.00022291745602165088</v>
      </c>
    </row>
    <row r="42" spans="1:5" ht="12.75">
      <c r="A42" s="47" t="s">
        <v>96</v>
      </c>
      <c r="B42" s="248">
        <f>E20</f>
        <v>0.0022872044203921566</v>
      </c>
      <c r="C42" s="248">
        <f>'Turbine HAP Emissions'!E24</f>
        <v>0.0032196404824755293</v>
      </c>
      <c r="D42" s="248">
        <f>'Duct Burner HAP Emissions'!E21</f>
        <v>0.00015689959404600813</v>
      </c>
      <c r="E42" s="248">
        <f t="shared" si="2"/>
        <v>0.0033765400765215373</v>
      </c>
    </row>
    <row r="43" spans="1:5" ht="12.75">
      <c r="A43" s="47" t="s">
        <v>8</v>
      </c>
      <c r="B43" s="248">
        <f>'Duct Burner HAP Emissions'!D22</f>
        <v>0.0008525033829499324</v>
      </c>
      <c r="C43" s="264"/>
      <c r="D43" s="248">
        <f>'Duct Burner HAP Emissions'!E22</f>
        <v>0.0018004871447902574</v>
      </c>
      <c r="E43" s="248">
        <f t="shared" si="2"/>
        <v>0.0018004871447902574</v>
      </c>
    </row>
    <row r="44" spans="1:5" ht="14.25">
      <c r="A44" s="47" t="s">
        <v>357</v>
      </c>
      <c r="B44" s="248">
        <f>E21</f>
        <v>0.0038706536345098036</v>
      </c>
      <c r="C44" s="248">
        <f>'Turbine HAP Emissions'!E25</f>
        <v>0.005448622354958589</v>
      </c>
      <c r="D44" s="248">
        <f>'Duct Burner HAP Emissions'!E23</f>
        <v>1.3323604871447906E-05</v>
      </c>
      <c r="E44" s="248">
        <f t="shared" si="2"/>
        <v>0.005461945959830037</v>
      </c>
    </row>
    <row r="45" spans="1:5" ht="12.75">
      <c r="A45" s="47" t="s">
        <v>97</v>
      </c>
      <c r="B45" s="248">
        <f>E22</f>
        <v>0.22872044203921563</v>
      </c>
      <c r="C45" s="248">
        <f>'Turbine HAP Emissions'!E26</f>
        <v>0.3219640482475529</v>
      </c>
      <c r="D45" s="248">
        <f>'Duct Burner HAP Emissions'!E24</f>
        <v>0.0008745223274695536</v>
      </c>
      <c r="E45" s="248">
        <f t="shared" si="2"/>
        <v>0.32283857057502247</v>
      </c>
    </row>
    <row r="46" spans="1:5" ht="12.75">
      <c r="A46" s="47" t="s">
        <v>13</v>
      </c>
      <c r="B46" s="248">
        <f>E23</f>
        <v>0.11260083300392157</v>
      </c>
      <c r="C46" s="248">
        <f>'Turbine HAP Emissions'!E27</f>
        <v>0.15850537759879532</v>
      </c>
      <c r="D46" s="264"/>
      <c r="E46" s="248">
        <f t="shared" si="2"/>
        <v>0.15850537759879532</v>
      </c>
    </row>
    <row r="47" spans="1:5" ht="14.25">
      <c r="A47" s="720" t="s">
        <v>356</v>
      </c>
      <c r="B47" s="720"/>
      <c r="C47" s="253"/>
      <c r="D47" s="15"/>
      <c r="E47" s="15"/>
    </row>
    <row r="48" spans="1:5" ht="41.25" customHeight="1">
      <c r="A48" s="670" t="s">
        <v>362</v>
      </c>
      <c r="B48" s="670"/>
      <c r="C48" s="670"/>
      <c r="D48" s="670"/>
      <c r="E48" s="670"/>
    </row>
  </sheetData>
  <sheetProtection/>
  <mergeCells count="12">
    <mergeCell ref="A26:D26"/>
    <mergeCell ref="A10:B10"/>
    <mergeCell ref="A24:B24"/>
    <mergeCell ref="A47:B47"/>
    <mergeCell ref="A48:E48"/>
    <mergeCell ref="A1:G1"/>
    <mergeCell ref="A5:G5"/>
    <mergeCell ref="A6:G6"/>
    <mergeCell ref="A3:G3"/>
    <mergeCell ref="A8:G8"/>
    <mergeCell ref="A4:G4"/>
    <mergeCell ref="A2:G2"/>
  </mergeCells>
  <printOptions horizontalCentered="1"/>
  <pageMargins left="0.7" right="0.7" top="0.75" bottom="0.75" header="0.3" footer="0.3"/>
  <pageSetup horizontalDpi="600" verticalDpi="600" orientation="landscape" r:id="rId2"/>
  <headerFooter>
    <oddFooter>&amp;L&amp;D&amp;C&amp;P of &amp;N&amp;R&amp;A</oddFooter>
  </headerFooter>
  <rowBreaks count="1" manualBreakCount="1">
    <brk id="25" max="255"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1">
      <selection activeCell="F27" sqref="F27"/>
    </sheetView>
  </sheetViews>
  <sheetFormatPr defaultColWidth="11.421875" defaultRowHeight="12.75"/>
  <cols>
    <col min="1" max="1" width="26.28125" style="72" customWidth="1"/>
    <col min="2" max="2" width="15.421875" style="72" customWidth="1"/>
    <col min="3" max="3" width="23.421875" style="72" customWidth="1"/>
    <col min="4" max="4" width="17.7109375" style="72" customWidth="1"/>
    <col min="5" max="5" width="22.7109375" style="72" customWidth="1"/>
    <col min="6" max="6" width="20.140625" style="72" customWidth="1"/>
    <col min="7" max="7" width="13.421875" style="72" customWidth="1"/>
    <col min="8" max="16384" width="11.421875" style="72" customWidth="1"/>
  </cols>
  <sheetData>
    <row r="1" spans="1:6" ht="30.75" customHeight="1">
      <c r="A1" s="723" t="s">
        <v>331</v>
      </c>
      <c r="B1" s="724"/>
      <c r="C1" s="724"/>
      <c r="D1" s="724"/>
      <c r="E1" s="724"/>
      <c r="F1" s="88"/>
    </row>
    <row r="2" spans="1:6" ht="12.75">
      <c r="A2" s="150"/>
      <c r="B2" s="88"/>
      <c r="C2" s="88"/>
      <c r="D2" s="88"/>
      <c r="E2" s="88"/>
      <c r="F2" s="88"/>
    </row>
    <row r="3" spans="1:6" ht="12.75">
      <c r="A3" s="150" t="s">
        <v>120</v>
      </c>
      <c r="B3" s="150"/>
      <c r="C3" s="150"/>
      <c r="D3" s="88"/>
      <c r="E3" s="88"/>
      <c r="F3" s="88"/>
    </row>
    <row r="4" spans="1:3" s="12" customFormat="1" ht="12.75">
      <c r="A4" s="715" t="s">
        <v>68</v>
      </c>
      <c r="B4" s="74">
        <v>13.7</v>
      </c>
      <c r="C4" s="86" t="s">
        <v>71</v>
      </c>
    </row>
    <row r="5" spans="1:3" s="12" customFormat="1" ht="12.75">
      <c r="A5" s="717"/>
      <c r="B5" s="74">
        <f>B4*3.281</f>
        <v>44.9497</v>
      </c>
      <c r="C5" s="428" t="s">
        <v>70</v>
      </c>
    </row>
    <row r="6" spans="1:4" s="12" customFormat="1" ht="14.25">
      <c r="A6" s="725" t="s">
        <v>65</v>
      </c>
      <c r="B6" s="55">
        <v>300</v>
      </c>
      <c r="C6" s="87" t="s">
        <v>249</v>
      </c>
      <c r="D6" s="88" t="s">
        <v>248</v>
      </c>
    </row>
    <row r="7" spans="1:3" s="12" customFormat="1" ht="12.75">
      <c r="A7" s="725"/>
      <c r="B7" s="76">
        <f>((5/9)*(B6-32))+273.15</f>
        <v>422.0388888888889</v>
      </c>
      <c r="C7" s="73" t="s">
        <v>72</v>
      </c>
    </row>
    <row r="8" spans="1:4" s="12" customFormat="1" ht="12.75">
      <c r="A8" s="715" t="s">
        <v>122</v>
      </c>
      <c r="B8" s="75">
        <v>50</v>
      </c>
      <c r="C8" s="73" t="s">
        <v>153</v>
      </c>
      <c r="D8" s="88" t="s">
        <v>248</v>
      </c>
    </row>
    <row r="9" spans="1:3" s="12" customFormat="1" ht="12.75">
      <c r="A9" s="717"/>
      <c r="B9" s="75">
        <f>B8/3.281</f>
        <v>15.239256324291373</v>
      </c>
      <c r="C9" s="73" t="s">
        <v>121</v>
      </c>
    </row>
    <row r="10" spans="1:4" s="12" customFormat="1" ht="12.75">
      <c r="A10" s="725" t="s">
        <v>69</v>
      </c>
      <c r="B10" s="55">
        <v>30</v>
      </c>
      <c r="C10" s="73" t="s">
        <v>215</v>
      </c>
      <c r="D10" s="88" t="s">
        <v>248</v>
      </c>
    </row>
    <row r="11" spans="1:4" s="12" customFormat="1" ht="12.75">
      <c r="A11" s="725"/>
      <c r="B11" s="55">
        <f>B10/12</f>
        <v>2.5</v>
      </c>
      <c r="C11" s="427" t="s">
        <v>489</v>
      </c>
      <c r="D11" s="88"/>
    </row>
    <row r="12" spans="1:3" s="12" customFormat="1" ht="12.75">
      <c r="A12" s="725"/>
      <c r="B12" s="76">
        <f>(B10/12)/3.281</f>
        <v>0.7619628162145687</v>
      </c>
      <c r="C12" s="86" t="s">
        <v>71</v>
      </c>
    </row>
    <row r="14" spans="1:3" s="12" customFormat="1" ht="12.75">
      <c r="A14" s="85"/>
      <c r="B14" s="77"/>
      <c r="C14" s="38"/>
    </row>
    <row r="15" spans="1:6" ht="12.75">
      <c r="A15" s="150" t="s">
        <v>251</v>
      </c>
      <c r="B15" s="150"/>
      <c r="C15" s="150"/>
      <c r="D15" s="150"/>
      <c r="E15" s="150"/>
      <c r="F15" s="88"/>
    </row>
    <row r="16" spans="1:6" ht="15" customHeight="1">
      <c r="A16" s="151" t="s">
        <v>217</v>
      </c>
      <c r="B16" s="152">
        <f>'Bowie Sources'!C7</f>
        <v>50</v>
      </c>
      <c r="C16" s="153" t="s">
        <v>218</v>
      </c>
      <c r="D16" s="88"/>
      <c r="E16" s="154"/>
      <c r="F16" s="155"/>
    </row>
    <row r="17" spans="1:6" ht="15" customHeight="1">
      <c r="A17" s="151" t="s">
        <v>200</v>
      </c>
      <c r="B17" s="156">
        <f>'Bowie Sources'!E7</f>
        <v>450</v>
      </c>
      <c r="C17" s="153" t="s">
        <v>201</v>
      </c>
      <c r="D17" s="88"/>
      <c r="E17" s="154"/>
      <c r="F17" s="155"/>
    </row>
    <row r="18" spans="1:6" ht="12.75">
      <c r="A18" s="151" t="s">
        <v>283</v>
      </c>
      <c r="B18" s="159">
        <f>'Bowie Sources'!B20</f>
        <v>1034.6</v>
      </c>
      <c r="C18" s="153" t="s">
        <v>216</v>
      </c>
      <c r="D18" s="88"/>
      <c r="E18" s="154"/>
      <c r="F18" s="155"/>
    </row>
    <row r="19" spans="1:6" ht="17.25" customHeight="1">
      <c r="A19" s="726" t="s">
        <v>384</v>
      </c>
      <c r="B19" s="239">
        <f>'Bowie Sources'!D20</f>
        <v>0.75</v>
      </c>
      <c r="C19" s="239" t="str">
        <f>'Bowie Sources'!E20</f>
        <v>grains/100 scf</v>
      </c>
      <c r="D19" s="88"/>
      <c r="E19" s="154"/>
      <c r="F19" s="155"/>
    </row>
    <row r="20" spans="1:6" ht="17.25" customHeight="1">
      <c r="A20" s="727"/>
      <c r="B20" s="159">
        <f>B19*1000000/100</f>
        <v>7500</v>
      </c>
      <c r="C20" s="151" t="s">
        <v>386</v>
      </c>
      <c r="D20" s="88"/>
      <c r="E20" s="154"/>
      <c r="F20" s="155"/>
    </row>
    <row r="21" spans="1:6" ht="15" customHeight="1">
      <c r="A21" s="151" t="s">
        <v>284</v>
      </c>
      <c r="B21" s="157">
        <f>B16/B18</f>
        <v>0.048327856176300026</v>
      </c>
      <c r="C21" s="153" t="s">
        <v>296</v>
      </c>
      <c r="D21" s="13" t="s">
        <v>101</v>
      </c>
      <c r="E21" s="158"/>
      <c r="F21" s="155"/>
    </row>
    <row r="22" spans="1:6" ht="12.75" customHeight="1">
      <c r="A22" s="151" t="s">
        <v>199</v>
      </c>
      <c r="B22" s="160">
        <f>B21*B17</f>
        <v>21.74753527933501</v>
      </c>
      <c r="C22" s="153" t="s">
        <v>219</v>
      </c>
      <c r="D22" s="88"/>
      <c r="E22" s="88"/>
      <c r="F22" s="155"/>
    </row>
    <row r="23" spans="1:6" ht="12.75" customHeight="1">
      <c r="A23" s="88"/>
      <c r="B23" s="88"/>
      <c r="C23" s="88"/>
      <c r="D23" s="88"/>
      <c r="E23" s="88"/>
      <c r="F23" s="155"/>
    </row>
    <row r="24" spans="1:6" ht="12.75">
      <c r="A24" s="88"/>
      <c r="B24" s="88"/>
      <c r="C24" s="88"/>
      <c r="D24" s="88"/>
      <c r="E24" s="88"/>
      <c r="F24" s="155"/>
    </row>
    <row r="25" spans="1:10" ht="18" customHeight="1">
      <c r="A25" s="161" t="s">
        <v>271</v>
      </c>
      <c r="B25" s="162"/>
      <c r="C25" s="158"/>
      <c r="D25" s="88"/>
      <c r="E25" s="88"/>
      <c r="F25" s="88"/>
      <c r="I25" s="88"/>
      <c r="J25" s="78"/>
    </row>
    <row r="26" spans="1:11" s="81" customFormat="1" ht="40.5" customHeight="1">
      <c r="A26" s="163" t="s">
        <v>204</v>
      </c>
      <c r="B26" s="163" t="s">
        <v>220</v>
      </c>
      <c r="C26" s="163" t="s">
        <v>405</v>
      </c>
      <c r="D26" s="163" t="s">
        <v>205</v>
      </c>
      <c r="E26" s="163" t="s">
        <v>250</v>
      </c>
      <c r="F26" s="164" t="s">
        <v>276</v>
      </c>
      <c r="G26" s="163" t="s">
        <v>207</v>
      </c>
      <c r="H26" s="80"/>
      <c r="I26" s="88"/>
      <c r="J26" s="88"/>
      <c r="K26" s="78"/>
    </row>
    <row r="27" spans="1:11" ht="15" customHeight="1">
      <c r="A27" s="151" t="s">
        <v>170</v>
      </c>
      <c r="B27" s="165"/>
      <c r="C27" s="165"/>
      <c r="D27" s="166">
        <v>0.011</v>
      </c>
      <c r="E27" s="167" t="s">
        <v>295</v>
      </c>
      <c r="F27" s="165">
        <f>D27*$B$16</f>
        <v>0.5499999999999999</v>
      </c>
      <c r="G27" s="165">
        <f aca="true" t="shared" si="0" ref="G27:G32">F27*$B$17/2000</f>
        <v>0.12374999999999999</v>
      </c>
      <c r="H27" s="83"/>
      <c r="I27" s="88"/>
      <c r="J27" s="88"/>
      <c r="K27" s="78"/>
    </row>
    <row r="28" spans="1:9" ht="15" customHeight="1">
      <c r="A28" s="151" t="s">
        <v>191</v>
      </c>
      <c r="B28" s="165"/>
      <c r="C28" s="165"/>
      <c r="D28" s="166">
        <v>0.037</v>
      </c>
      <c r="E28" s="167" t="s">
        <v>295</v>
      </c>
      <c r="F28" s="165">
        <f>D28*$B$16</f>
        <v>1.8499999999999999</v>
      </c>
      <c r="G28" s="165">
        <f t="shared" si="0"/>
        <v>0.41624999999999995</v>
      </c>
      <c r="H28" s="83"/>
      <c r="I28" s="88"/>
    </row>
    <row r="29" spans="1:10" ht="15" customHeight="1">
      <c r="A29" s="151" t="s">
        <v>280</v>
      </c>
      <c r="B29" s="168"/>
      <c r="C29" s="168"/>
      <c r="D29" s="169">
        <v>0.004</v>
      </c>
      <c r="E29" s="167" t="s">
        <v>295</v>
      </c>
      <c r="F29" s="165">
        <f>D29*$B$16</f>
        <v>0.2</v>
      </c>
      <c r="G29" s="165">
        <f t="shared" si="0"/>
        <v>0.045</v>
      </c>
      <c r="H29" s="83"/>
      <c r="I29" s="88"/>
      <c r="J29" s="88"/>
    </row>
    <row r="30" spans="1:11" ht="15" customHeight="1">
      <c r="A30" s="386" t="s">
        <v>407</v>
      </c>
      <c r="B30" s="177">
        <v>0.6</v>
      </c>
      <c r="C30" s="165">
        <f>B30*B20/2000</f>
        <v>2.25</v>
      </c>
      <c r="D30" s="165"/>
      <c r="E30" s="167" t="s">
        <v>221</v>
      </c>
      <c r="F30" s="165">
        <f>C30*B21</f>
        <v>0.10873767639667506</v>
      </c>
      <c r="G30" s="165">
        <f t="shared" si="0"/>
        <v>0.02446597718925189</v>
      </c>
      <c r="H30" s="83"/>
      <c r="I30" s="88"/>
      <c r="J30" s="88"/>
      <c r="K30" s="78"/>
    </row>
    <row r="31" spans="1:11" ht="15" customHeight="1">
      <c r="A31" s="151" t="s">
        <v>277</v>
      </c>
      <c r="B31" s="165"/>
      <c r="C31" s="165"/>
      <c r="D31" s="166">
        <v>0.007</v>
      </c>
      <c r="E31" s="167" t="s">
        <v>295</v>
      </c>
      <c r="F31" s="165">
        <f>D31*$B$16</f>
        <v>0.35000000000000003</v>
      </c>
      <c r="G31" s="165">
        <f t="shared" si="0"/>
        <v>0.07875000000000001</v>
      </c>
      <c r="H31" s="83"/>
      <c r="I31" s="88"/>
      <c r="J31" s="88"/>
      <c r="K31" s="78"/>
    </row>
    <row r="32" spans="1:11" ht="15" customHeight="1">
      <c r="A32" s="151" t="s">
        <v>311</v>
      </c>
      <c r="B32" s="165"/>
      <c r="C32" s="165"/>
      <c r="D32" s="166">
        <v>0.007</v>
      </c>
      <c r="E32" s="167" t="s">
        <v>295</v>
      </c>
      <c r="F32" s="165">
        <f>D32*$B$16</f>
        <v>0.35000000000000003</v>
      </c>
      <c r="G32" s="165">
        <f t="shared" si="0"/>
        <v>0.07875000000000001</v>
      </c>
      <c r="H32" s="83"/>
      <c r="I32" s="88"/>
      <c r="J32" s="88"/>
      <c r="K32" s="78"/>
    </row>
    <row r="33" spans="1:8" ht="18" customHeight="1">
      <c r="A33" s="170"/>
      <c r="B33" s="171"/>
      <c r="C33" s="162"/>
      <c r="D33" s="88"/>
      <c r="E33" s="88"/>
      <c r="F33" s="88"/>
      <c r="H33" s="88"/>
    </row>
    <row r="34" spans="1:6" ht="12.75">
      <c r="A34" s="161" t="s">
        <v>502</v>
      </c>
      <c r="B34" s="162"/>
      <c r="C34" s="158"/>
      <c r="D34" s="88"/>
      <c r="E34" s="88"/>
      <c r="F34" s="88"/>
    </row>
    <row r="35" spans="1:6" ht="40.5" customHeight="1">
      <c r="A35" s="163" t="s">
        <v>204</v>
      </c>
      <c r="B35" s="163" t="s">
        <v>220</v>
      </c>
      <c r="C35" s="163" t="s">
        <v>206</v>
      </c>
      <c r="D35" s="164" t="s">
        <v>276</v>
      </c>
      <c r="E35" s="163" t="s">
        <v>207</v>
      </c>
      <c r="F35" s="172"/>
    </row>
    <row r="36" spans="1:6" ht="12.75">
      <c r="A36" s="151" t="s">
        <v>117</v>
      </c>
      <c r="B36" s="173">
        <v>0.0002</v>
      </c>
      <c r="C36" s="167" t="s">
        <v>9</v>
      </c>
      <c r="D36" s="174">
        <f>B36*$B$21</f>
        <v>9.665571235260006E-06</v>
      </c>
      <c r="E36" s="174">
        <f>B36*$B$22/2000</f>
        <v>2.1747535279335015E-06</v>
      </c>
      <c r="F36" s="175"/>
    </row>
    <row r="37" spans="1:6" ht="12.75">
      <c r="A37" s="151" t="s">
        <v>209</v>
      </c>
      <c r="B37" s="173">
        <v>0.0021</v>
      </c>
      <c r="C37" s="167" t="s">
        <v>109</v>
      </c>
      <c r="D37" s="174">
        <f aca="true" t="shared" si="1" ref="D37:D50">B37*$B$21</f>
        <v>0.00010148849797023005</v>
      </c>
      <c r="E37" s="174">
        <f aca="true" t="shared" si="2" ref="E37:E50">B37*$B$22/2000</f>
        <v>2.283491204330176E-05</v>
      </c>
      <c r="F37" s="175"/>
    </row>
    <row r="38" spans="1:6" ht="12.75">
      <c r="A38" s="151" t="s">
        <v>4</v>
      </c>
      <c r="B38" s="173">
        <v>0.0011</v>
      </c>
      <c r="C38" s="167" t="s">
        <v>9</v>
      </c>
      <c r="D38" s="174">
        <f t="shared" si="1"/>
        <v>5.316064179393003E-05</v>
      </c>
      <c r="E38" s="174">
        <f t="shared" si="2"/>
        <v>1.1961144403634256E-05</v>
      </c>
      <c r="F38" s="175"/>
    </row>
    <row r="39" spans="1:6" ht="12.75">
      <c r="A39" s="151" t="s">
        <v>5</v>
      </c>
      <c r="B39" s="173">
        <v>0.0014</v>
      </c>
      <c r="C39" s="167" t="s">
        <v>9</v>
      </c>
      <c r="D39" s="174">
        <f t="shared" si="1"/>
        <v>6.765899864682003E-05</v>
      </c>
      <c r="E39" s="174">
        <f t="shared" si="2"/>
        <v>1.5223274695534507E-05</v>
      </c>
      <c r="F39" s="175"/>
    </row>
    <row r="40" spans="1:6" ht="12.75">
      <c r="A40" s="151" t="s">
        <v>6</v>
      </c>
      <c r="B40" s="173">
        <v>8.4E-05</v>
      </c>
      <c r="C40" s="167" t="s">
        <v>9</v>
      </c>
      <c r="D40" s="174">
        <f t="shared" si="1"/>
        <v>4.059539918809202E-06</v>
      </c>
      <c r="E40" s="174">
        <f t="shared" si="2"/>
        <v>9.133964817320704E-07</v>
      </c>
      <c r="F40" s="175"/>
    </row>
    <row r="41" spans="1:6" ht="12.75">
      <c r="A41" s="151" t="s">
        <v>139</v>
      </c>
      <c r="B41" s="173">
        <v>0.0012</v>
      </c>
      <c r="C41" s="167" t="s">
        <v>109</v>
      </c>
      <c r="D41" s="174">
        <f t="shared" si="1"/>
        <v>5.799342741156003E-05</v>
      </c>
      <c r="E41" s="174">
        <f t="shared" si="2"/>
        <v>1.3048521167601006E-05</v>
      </c>
      <c r="F41" s="175"/>
    </row>
    <row r="42" spans="1:6" ht="12.75">
      <c r="A42" s="151" t="s">
        <v>94</v>
      </c>
      <c r="B42" s="176">
        <v>0.075</v>
      </c>
      <c r="C42" s="167" t="s">
        <v>109</v>
      </c>
      <c r="D42" s="174">
        <f t="shared" si="1"/>
        <v>0.003624589213222502</v>
      </c>
      <c r="E42" s="174">
        <f t="shared" si="2"/>
        <v>0.0008155325729750629</v>
      </c>
      <c r="F42" s="175"/>
    </row>
    <row r="43" spans="1:6" ht="12.75">
      <c r="A43" s="151" t="s">
        <v>110</v>
      </c>
      <c r="B43" s="173">
        <v>1.8</v>
      </c>
      <c r="C43" s="167" t="s">
        <v>109</v>
      </c>
      <c r="D43" s="174">
        <f t="shared" si="1"/>
        <v>0.08699014111734005</v>
      </c>
      <c r="E43" s="174">
        <f t="shared" si="2"/>
        <v>0.01957278175140151</v>
      </c>
      <c r="F43" s="175"/>
    </row>
    <row r="44" spans="1:6" ht="12.75">
      <c r="A44" s="151" t="s">
        <v>28</v>
      </c>
      <c r="B44" s="571">
        <v>0.0005</v>
      </c>
      <c r="C44" s="167" t="s">
        <v>221</v>
      </c>
      <c r="D44" s="174">
        <f t="shared" si="1"/>
        <v>2.4163928088150015E-05</v>
      </c>
      <c r="E44" s="174">
        <f t="shared" si="2"/>
        <v>5.436883819833753E-06</v>
      </c>
      <c r="F44" s="175"/>
    </row>
    <row r="45" spans="1:6" ht="12.75">
      <c r="A45" s="151" t="s">
        <v>7</v>
      </c>
      <c r="B45" s="173">
        <v>0.00038</v>
      </c>
      <c r="C45" s="167" t="s">
        <v>9</v>
      </c>
      <c r="D45" s="174">
        <f t="shared" si="1"/>
        <v>1.8364585346994012E-05</v>
      </c>
      <c r="E45" s="174">
        <f t="shared" si="2"/>
        <v>4.132031703073653E-06</v>
      </c>
      <c r="F45" s="175"/>
    </row>
    <row r="46" spans="1:6" ht="12.75">
      <c r="A46" s="151" t="s">
        <v>95</v>
      </c>
      <c r="B46" s="173">
        <v>0.00026</v>
      </c>
      <c r="C46" s="167" t="s">
        <v>9</v>
      </c>
      <c r="D46" s="174">
        <f t="shared" si="1"/>
        <v>1.2565242605838006E-05</v>
      </c>
      <c r="E46" s="174">
        <f t="shared" si="2"/>
        <v>2.827179586313551E-06</v>
      </c>
      <c r="F46" s="175"/>
    </row>
    <row r="47" spans="1:6" ht="12.75">
      <c r="A47" s="151" t="s">
        <v>96</v>
      </c>
      <c r="B47" s="173">
        <v>0.00061</v>
      </c>
      <c r="C47" s="167" t="s">
        <v>109</v>
      </c>
      <c r="D47" s="174">
        <f t="shared" si="1"/>
        <v>2.9479992267543014E-05</v>
      </c>
      <c r="E47" s="174">
        <f t="shared" si="2"/>
        <v>6.632998260197178E-06</v>
      </c>
      <c r="F47" s="175"/>
    </row>
    <row r="48" spans="1:6" ht="12.75">
      <c r="A48" s="151" t="s">
        <v>8</v>
      </c>
      <c r="B48" s="173">
        <v>0.0021</v>
      </c>
      <c r="C48" s="167" t="s">
        <v>9</v>
      </c>
      <c r="D48" s="174">
        <f t="shared" si="1"/>
        <v>0.00010148849797023005</v>
      </c>
      <c r="E48" s="174">
        <f t="shared" si="2"/>
        <v>2.283491204330176E-05</v>
      </c>
      <c r="F48" s="175"/>
    </row>
    <row r="49" spans="1:6" ht="12.75">
      <c r="A49" s="151" t="s">
        <v>111</v>
      </c>
      <c r="B49" s="173">
        <f>B58</f>
        <v>5.18E-05</v>
      </c>
      <c r="C49" s="167"/>
      <c r="D49" s="174">
        <f t="shared" si="1"/>
        <v>2.5033829499323414E-06</v>
      </c>
      <c r="E49" s="174">
        <f t="shared" si="2"/>
        <v>5.632611637347767E-07</v>
      </c>
      <c r="F49" s="175"/>
    </row>
    <row r="50" spans="1:6" ht="12.75">
      <c r="A50" s="151" t="s">
        <v>97</v>
      </c>
      <c r="B50" s="173">
        <v>0.0034</v>
      </c>
      <c r="C50" s="167" t="s">
        <v>109</v>
      </c>
      <c r="D50" s="174">
        <f t="shared" si="1"/>
        <v>0.00016431471099942008</v>
      </c>
      <c r="E50" s="174">
        <f t="shared" si="2"/>
        <v>3.697080997486952E-05</v>
      </c>
      <c r="F50" s="175"/>
    </row>
    <row r="51" spans="1:6" ht="12.75">
      <c r="A51" s="171"/>
      <c r="B51" s="178"/>
      <c r="C51" s="179"/>
      <c r="D51" s="88"/>
      <c r="E51" s="88"/>
      <c r="F51" s="88"/>
    </row>
    <row r="52" spans="1:6" ht="12.75">
      <c r="A52" s="180" t="s">
        <v>111</v>
      </c>
      <c r="B52" s="173"/>
      <c r="C52" s="167"/>
      <c r="D52"/>
      <c r="E52"/>
      <c r="F52" s="88"/>
    </row>
    <row r="53" spans="1:6" ht="12.75">
      <c r="A53" s="151" t="s">
        <v>112</v>
      </c>
      <c r="B53" s="173">
        <v>2.4E-05</v>
      </c>
      <c r="C53" s="167" t="s">
        <v>109</v>
      </c>
      <c r="D53"/>
      <c r="E53"/>
      <c r="F53" s="175"/>
    </row>
    <row r="54" spans="1:6" ht="12.75">
      <c r="A54" s="151" t="s">
        <v>113</v>
      </c>
      <c r="B54" s="173">
        <v>3E-06</v>
      </c>
      <c r="C54" s="167" t="s">
        <v>109</v>
      </c>
      <c r="D54"/>
      <c r="E54"/>
      <c r="F54" s="175"/>
    </row>
    <row r="55" spans="1:6" ht="12.75">
      <c r="A55" s="151" t="s">
        <v>114</v>
      </c>
      <c r="B55" s="173">
        <v>2.8E-06</v>
      </c>
      <c r="C55" s="167" t="s">
        <v>109</v>
      </c>
      <c r="D55"/>
      <c r="E55"/>
      <c r="F55" s="175"/>
    </row>
    <row r="56" spans="1:6" ht="12.75">
      <c r="A56" s="151" t="s">
        <v>115</v>
      </c>
      <c r="B56" s="173">
        <v>1.7E-05</v>
      </c>
      <c r="C56" s="167" t="s">
        <v>109</v>
      </c>
      <c r="D56"/>
      <c r="E56"/>
      <c r="F56" s="175"/>
    </row>
    <row r="57" spans="1:6" ht="12.75">
      <c r="A57" s="153" t="s">
        <v>116</v>
      </c>
      <c r="B57" s="173">
        <v>5E-06</v>
      </c>
      <c r="C57" s="167" t="s">
        <v>109</v>
      </c>
      <c r="D57"/>
      <c r="E57"/>
      <c r="F57" s="175"/>
    </row>
    <row r="58" spans="1:6" ht="12.75">
      <c r="A58" s="267" t="s">
        <v>10</v>
      </c>
      <c r="B58" s="268">
        <f>SUM(B53:B57)</f>
        <v>5.18E-05</v>
      </c>
      <c r="C58"/>
      <c r="D58"/>
      <c r="E58"/>
      <c r="F58" s="175"/>
    </row>
    <row r="59" spans="1:6" ht="14.25">
      <c r="A59" s="170"/>
      <c r="B59" s="88"/>
      <c r="C59" s="88"/>
      <c r="D59" s="88"/>
      <c r="E59" s="88"/>
      <c r="F59" s="88"/>
    </row>
  </sheetData>
  <sheetProtection/>
  <mergeCells count="6">
    <mergeCell ref="A1:E1"/>
    <mergeCell ref="A10:A12"/>
    <mergeCell ref="A8:A9"/>
    <mergeCell ref="A6:A7"/>
    <mergeCell ref="A19:A20"/>
    <mergeCell ref="A4:A5"/>
  </mergeCells>
  <printOptions/>
  <pageMargins left="0.75" right="0.75" top="1" bottom="1" header="0.5" footer="0.5"/>
  <pageSetup fitToHeight="0" fitToWidth="1" horizontalDpi="300" verticalDpi="300" orientation="landscape" scale="86" r:id="rId2"/>
  <headerFooter alignWithMargins="0">
    <oddFooter>&amp;L&amp;D
&amp;C&amp;P of &amp;N&amp;R&amp;A</oddFooter>
  </headerFooter>
  <rowBreaks count="2" manualBreakCount="2">
    <brk id="33" max="255" man="1"/>
    <brk id="60" max="5" man="1"/>
  </rowBreaks>
  <drawing r:id="rId1"/>
</worksheet>
</file>

<file path=xl/worksheets/sheet17.xml><?xml version="1.0" encoding="utf-8"?>
<worksheet xmlns="http://schemas.openxmlformats.org/spreadsheetml/2006/main" xmlns:r="http://schemas.openxmlformats.org/officeDocument/2006/relationships">
  <dimension ref="A1:K51"/>
  <sheetViews>
    <sheetView zoomScalePageLayoutView="0" workbookViewId="0" topLeftCell="A1">
      <selection activeCell="F35" sqref="F35"/>
    </sheetView>
  </sheetViews>
  <sheetFormatPr defaultColWidth="11.421875" defaultRowHeight="12.75"/>
  <cols>
    <col min="1" max="1" width="22.7109375" style="72" customWidth="1"/>
    <col min="2" max="2" width="14.28125" style="72" customWidth="1"/>
    <col min="3" max="3" width="20.140625" style="72" customWidth="1"/>
    <col min="4" max="4" width="22.421875" style="72" customWidth="1"/>
    <col min="5" max="5" width="27.28125" style="72" customWidth="1"/>
    <col min="6" max="7" width="13.28125" style="72" customWidth="1"/>
    <col min="8" max="8" width="8.7109375" style="0" customWidth="1"/>
    <col min="9" max="16384" width="11.421875" style="72" customWidth="1"/>
  </cols>
  <sheetData>
    <row r="1" spans="1:6" ht="33" customHeight="1">
      <c r="A1" s="723" t="s">
        <v>312</v>
      </c>
      <c r="B1" s="730"/>
      <c r="C1" s="730"/>
      <c r="D1" s="730"/>
      <c r="E1" s="730"/>
      <c r="F1" s="730"/>
    </row>
    <row r="3" spans="1:3" ht="12.75">
      <c r="A3" s="729" t="s">
        <v>394</v>
      </c>
      <c r="B3" s="729"/>
      <c r="C3" s="729"/>
    </row>
    <row r="5" spans="1:7" ht="12.75">
      <c r="A5" s="199" t="s">
        <v>120</v>
      </c>
      <c r="B5" s="199"/>
      <c r="C5" s="199"/>
      <c r="D5" s="88"/>
      <c r="E5" s="88"/>
      <c r="F5" s="88"/>
      <c r="G5" s="88"/>
    </row>
    <row r="6" spans="1:7" ht="12.75">
      <c r="A6" s="715" t="s">
        <v>68</v>
      </c>
      <c r="B6" s="55">
        <v>35</v>
      </c>
      <c r="C6" s="181" t="s">
        <v>70</v>
      </c>
      <c r="D6" s="88"/>
      <c r="E6" s="88"/>
      <c r="F6" s="88"/>
      <c r="G6" s="88"/>
    </row>
    <row r="7" spans="1:7" ht="12.75">
      <c r="A7" s="717"/>
      <c r="B7" s="74">
        <f>B6/3.281</f>
        <v>10.667479427003961</v>
      </c>
      <c r="C7" s="181" t="s">
        <v>71</v>
      </c>
      <c r="D7" s="88"/>
      <c r="E7" s="88"/>
      <c r="F7" s="88"/>
      <c r="G7" s="88"/>
    </row>
    <row r="8" spans="1:7" ht="14.25">
      <c r="A8" s="725" t="s">
        <v>65</v>
      </c>
      <c r="B8" s="55">
        <v>997</v>
      </c>
      <c r="C8" s="182" t="s">
        <v>249</v>
      </c>
      <c r="D8" s="572" t="s">
        <v>628</v>
      </c>
      <c r="E8" s="88"/>
      <c r="F8" s="88"/>
      <c r="G8" s="88"/>
    </row>
    <row r="9" spans="1:7" ht="12.75">
      <c r="A9" s="725"/>
      <c r="B9" s="76">
        <f>((5/9)*(B8-32))+273.15</f>
        <v>809.2611111111111</v>
      </c>
      <c r="C9" s="181" t="s">
        <v>72</v>
      </c>
      <c r="D9" s="88"/>
      <c r="E9" s="88"/>
      <c r="F9" s="88"/>
      <c r="G9" s="88"/>
    </row>
    <row r="10" spans="1:7" ht="12.75">
      <c r="A10" s="242" t="s">
        <v>119</v>
      </c>
      <c r="B10" s="55">
        <v>1751</v>
      </c>
      <c r="C10" s="181" t="s">
        <v>118</v>
      </c>
      <c r="D10" s="572" t="s">
        <v>628</v>
      </c>
      <c r="E10" s="88"/>
      <c r="F10" s="88"/>
      <c r="G10" s="88"/>
    </row>
    <row r="11" spans="1:7" ht="12.75">
      <c r="A11" s="715" t="s">
        <v>122</v>
      </c>
      <c r="B11" s="75">
        <f>B10/(PI()*((B14/12)/2)^2)</f>
        <v>12841.588470708113</v>
      </c>
      <c r="C11" s="181" t="s">
        <v>393</v>
      </c>
      <c r="D11" s="88"/>
      <c r="E11" s="88"/>
      <c r="F11" s="88"/>
      <c r="G11" s="88"/>
    </row>
    <row r="12" spans="1:7" ht="12.75">
      <c r="A12" s="716"/>
      <c r="B12" s="75">
        <f>B11/60</f>
        <v>214.0264745118019</v>
      </c>
      <c r="C12" s="429" t="s">
        <v>153</v>
      </c>
      <c r="D12" s="88"/>
      <c r="E12" s="88"/>
      <c r="F12" s="88"/>
      <c r="G12" s="88"/>
    </row>
    <row r="13" spans="1:7" ht="12.75">
      <c r="A13" s="717"/>
      <c r="B13" s="75">
        <f>B11/(60*3.281)</f>
        <v>65.23208610539527</v>
      </c>
      <c r="C13" s="181" t="s">
        <v>121</v>
      </c>
      <c r="D13" s="88"/>
      <c r="E13" s="88"/>
      <c r="F13" s="88"/>
      <c r="G13" s="88"/>
    </row>
    <row r="14" spans="1:7" ht="12.75">
      <c r="A14" s="715" t="s">
        <v>69</v>
      </c>
      <c r="B14" s="55">
        <v>5</v>
      </c>
      <c r="C14" s="181" t="s">
        <v>215</v>
      </c>
      <c r="D14" s="88"/>
      <c r="E14" s="88"/>
      <c r="F14" s="88"/>
      <c r="G14" s="88"/>
    </row>
    <row r="15" spans="1:7" ht="12.75">
      <c r="A15" s="716"/>
      <c r="B15" s="76">
        <f>B14/12</f>
        <v>0.4166666666666667</v>
      </c>
      <c r="C15" s="429" t="s">
        <v>70</v>
      </c>
      <c r="D15" s="88"/>
      <c r="E15" s="88"/>
      <c r="F15" s="88"/>
      <c r="G15" s="88"/>
    </row>
    <row r="16" spans="1:7" ht="12.75">
      <c r="A16" s="717"/>
      <c r="B16" s="76">
        <f>(B14/12)/3.281</f>
        <v>0.12699380270242813</v>
      </c>
      <c r="C16" s="181" t="s">
        <v>71</v>
      </c>
      <c r="D16" s="88"/>
      <c r="E16" s="88"/>
      <c r="F16" s="88"/>
      <c r="G16" s="88"/>
    </row>
    <row r="18" spans="1:7" ht="12.75">
      <c r="A18" s="731" t="s">
        <v>251</v>
      </c>
      <c r="B18" s="731"/>
      <c r="C18" s="731"/>
      <c r="D18" s="11"/>
      <c r="E18" s="11"/>
      <c r="F18" s="88"/>
      <c r="G18" s="88"/>
    </row>
    <row r="19" spans="1:7" ht="15" customHeight="1">
      <c r="A19" s="151" t="s">
        <v>202</v>
      </c>
      <c r="B19" s="152">
        <f>'Bowie Sources'!C8</f>
        <v>260</v>
      </c>
      <c r="C19" s="153" t="s">
        <v>203</v>
      </c>
      <c r="D19" s="11"/>
      <c r="E19" s="11"/>
      <c r="F19" s="155"/>
      <c r="G19" s="88"/>
    </row>
    <row r="20" spans="1:7" ht="15" customHeight="1">
      <c r="A20" s="151" t="s">
        <v>200</v>
      </c>
      <c r="B20" s="156">
        <f>'Bowie Sources'!E8</f>
        <v>100</v>
      </c>
      <c r="C20" s="153" t="s">
        <v>201</v>
      </c>
      <c r="D20" s="11" t="s">
        <v>270</v>
      </c>
      <c r="E20" s="11"/>
      <c r="F20" s="155"/>
      <c r="G20" s="88"/>
    </row>
    <row r="21" spans="1:7" ht="15" customHeight="1">
      <c r="A21" s="151" t="s">
        <v>284</v>
      </c>
      <c r="B21" s="269">
        <v>13.4</v>
      </c>
      <c r="C21" s="153" t="s">
        <v>91</v>
      </c>
      <c r="D21" s="11" t="s">
        <v>413</v>
      </c>
      <c r="E21" s="11"/>
      <c r="F21" s="155"/>
      <c r="G21" s="88"/>
    </row>
    <row r="22" spans="1:7" ht="17.25" customHeight="1">
      <c r="A22" s="151" t="s">
        <v>412</v>
      </c>
      <c r="B22" s="159">
        <f>'Bowie Sources'!B21</f>
        <v>137000</v>
      </c>
      <c r="C22" s="153" t="s">
        <v>368</v>
      </c>
      <c r="D22" s="472" t="s">
        <v>630</v>
      </c>
      <c r="E22" s="11"/>
      <c r="F22" s="155"/>
      <c r="G22" s="88"/>
    </row>
    <row r="23" spans="1:7" ht="15" customHeight="1">
      <c r="A23" s="151" t="s">
        <v>406</v>
      </c>
      <c r="B23" s="183">
        <f>B21*B22/1000000</f>
        <v>1.8358</v>
      </c>
      <c r="C23" s="153" t="s">
        <v>102</v>
      </c>
      <c r="D23" s="11"/>
      <c r="E23" s="11"/>
      <c r="F23" s="155"/>
      <c r="G23" s="88"/>
    </row>
    <row r="24" spans="1:3" ht="12.75">
      <c r="A24" s="153" t="s">
        <v>199</v>
      </c>
      <c r="B24" s="153">
        <f>B21*B20/1000</f>
        <v>1.34</v>
      </c>
      <c r="C24" s="153" t="s">
        <v>395</v>
      </c>
    </row>
    <row r="25" spans="1:7" ht="12.75">
      <c r="A25" s="726" t="s">
        <v>134</v>
      </c>
      <c r="B25" s="184">
        <f>'Bowie Sources'!D21</f>
        <v>15</v>
      </c>
      <c r="C25" s="416" t="s">
        <v>482</v>
      </c>
      <c r="D25" s="732" t="s">
        <v>629</v>
      </c>
      <c r="E25" s="670"/>
      <c r="F25" s="670"/>
      <c r="G25" s="670"/>
    </row>
    <row r="26" spans="1:7" ht="12.75">
      <c r="A26" s="727"/>
      <c r="B26" s="417">
        <f>B25/1000000*100</f>
        <v>0.0015</v>
      </c>
      <c r="C26" s="418" t="s">
        <v>198</v>
      </c>
      <c r="D26" s="88"/>
      <c r="E26" s="88"/>
      <c r="F26" s="155"/>
      <c r="G26" s="88"/>
    </row>
    <row r="27" spans="1:9" ht="12" customHeight="1">
      <c r="A27" s="171"/>
      <c r="B27" s="162"/>
      <c r="C27" s="158"/>
      <c r="D27" s="88"/>
      <c r="E27" s="88"/>
      <c r="F27" s="88"/>
      <c r="G27" s="88"/>
      <c r="I27" s="78"/>
    </row>
    <row r="28" spans="1:9" ht="15.75" customHeight="1">
      <c r="A28" s="161" t="s">
        <v>411</v>
      </c>
      <c r="B28" s="162"/>
      <c r="C28" s="158"/>
      <c r="D28" s="88"/>
      <c r="E28" s="88"/>
      <c r="F28" s="88"/>
      <c r="G28" s="88"/>
      <c r="I28" s="78"/>
    </row>
    <row r="29" spans="1:11" s="81" customFormat="1" ht="51" customHeight="1">
      <c r="A29" s="163" t="s">
        <v>204</v>
      </c>
      <c r="B29" s="163" t="s">
        <v>396</v>
      </c>
      <c r="C29" s="163" t="s">
        <v>396</v>
      </c>
      <c r="D29" s="163" t="s">
        <v>410</v>
      </c>
      <c r="E29" s="163" t="s">
        <v>206</v>
      </c>
      <c r="F29" s="164" t="s">
        <v>276</v>
      </c>
      <c r="G29" s="163" t="s">
        <v>207</v>
      </c>
      <c r="H29" s="185"/>
      <c r="I29"/>
      <c r="J29" s="88"/>
      <c r="K29" s="78"/>
    </row>
    <row r="30" spans="1:11" ht="18" customHeight="1">
      <c r="A30" s="151" t="s">
        <v>170</v>
      </c>
      <c r="B30" s="165"/>
      <c r="C30" s="165"/>
      <c r="D30" s="166">
        <v>2.2</v>
      </c>
      <c r="E30" s="167" t="s">
        <v>380</v>
      </c>
      <c r="F30" s="186">
        <f>D30*$B$19/453.59</f>
        <v>1.2610507286315837</v>
      </c>
      <c r="G30" s="200">
        <f>(D30*$B$19*$B$20)/(453.59*2000)</f>
        <v>0.06305253643157918</v>
      </c>
      <c r="H30" s="88"/>
      <c r="I30"/>
      <c r="J30" s="88"/>
      <c r="K30" s="78"/>
    </row>
    <row r="31" spans="1:9" ht="13.5" customHeight="1">
      <c r="A31" s="151" t="s">
        <v>191</v>
      </c>
      <c r="B31" s="165"/>
      <c r="C31" s="165"/>
      <c r="D31" s="166">
        <v>1.417</v>
      </c>
      <c r="E31" s="167" t="s">
        <v>380</v>
      </c>
      <c r="F31" s="186">
        <f>D31*$B$19/453.59</f>
        <v>0.81223131021407</v>
      </c>
      <c r="G31" s="200">
        <f>(D31*$B$19*$B$20)/(453.59*2000)</f>
        <v>0.040611565510703496</v>
      </c>
      <c r="H31" s="88"/>
      <c r="I31"/>
    </row>
    <row r="32" spans="1:10" ht="13.5" customHeight="1">
      <c r="A32" s="151" t="s">
        <v>280</v>
      </c>
      <c r="B32" s="168"/>
      <c r="C32" s="168"/>
      <c r="D32" s="169">
        <v>0.123</v>
      </c>
      <c r="E32" s="167" t="s">
        <v>380</v>
      </c>
      <c r="F32" s="186">
        <f>D32*$B$19/453.59</f>
        <v>0.07050419982803854</v>
      </c>
      <c r="G32" s="270">
        <f>(D32*$B$19*$B$20)/(453.59*2000)</f>
        <v>0.0035252099914019268</v>
      </c>
      <c r="H32" s="88"/>
      <c r="I32"/>
      <c r="J32" s="88"/>
    </row>
    <row r="33" spans="1:11" ht="27" customHeight="1">
      <c r="A33" s="151" t="s">
        <v>407</v>
      </c>
      <c r="B33" s="400" t="s">
        <v>468</v>
      </c>
      <c r="C33" s="192">
        <f>0.00809*B26</f>
        <v>1.2135E-05</v>
      </c>
      <c r="D33" s="399"/>
      <c r="E33" s="401" t="s">
        <v>483</v>
      </c>
      <c r="F33" s="270">
        <f>C33*B19</f>
        <v>0.0031551</v>
      </c>
      <c r="G33" s="419">
        <f>C33*B19*B20/2000</f>
        <v>0.000157755</v>
      </c>
      <c r="H33" s="88"/>
      <c r="I33"/>
      <c r="J33" s="88"/>
      <c r="K33" s="78"/>
    </row>
    <row r="34" spans="1:11" ht="13.5" customHeight="1">
      <c r="A34" s="151" t="s">
        <v>277</v>
      </c>
      <c r="B34" s="165"/>
      <c r="C34" s="165"/>
      <c r="D34" s="166">
        <v>0.118</v>
      </c>
      <c r="E34" s="167" t="s">
        <v>380</v>
      </c>
      <c r="F34" s="186">
        <f>D34*$B$19/453.59</f>
        <v>0.06763817544478494</v>
      </c>
      <c r="G34" s="270">
        <f>(D34*$B$19*$B$20)/(453.59*2000)</f>
        <v>0.003381908772239247</v>
      </c>
      <c r="H34" s="88"/>
      <c r="I34"/>
      <c r="J34" s="88"/>
      <c r="K34" s="78"/>
    </row>
    <row r="35" spans="1:11" ht="19.5" customHeight="1">
      <c r="A35" s="151" t="s">
        <v>311</v>
      </c>
      <c r="B35" s="165"/>
      <c r="C35" s="165"/>
      <c r="D35" s="166">
        <v>0.118</v>
      </c>
      <c r="E35" s="167" t="s">
        <v>381</v>
      </c>
      <c r="F35" s="186">
        <f>D35*$B$19/453.59</f>
        <v>0.06763817544478494</v>
      </c>
      <c r="G35" s="270">
        <f>(D35*$B$19*$B$20)/(453.59*2000)</f>
        <v>0.003381908772239247</v>
      </c>
      <c r="H35" s="11"/>
      <c r="I35"/>
      <c r="J35" s="88"/>
      <c r="K35" s="78"/>
    </row>
    <row r="36" spans="1:11" ht="62.25" customHeight="1">
      <c r="A36" s="728" t="s">
        <v>469</v>
      </c>
      <c r="B36" s="728"/>
      <c r="C36" s="728"/>
      <c r="D36" s="728"/>
      <c r="E36" s="728"/>
      <c r="F36" s="728"/>
      <c r="G36" s="728"/>
      <c r="H36" s="11"/>
      <c r="I36"/>
      <c r="J36" s="88"/>
      <c r="K36" s="78"/>
    </row>
    <row r="37" spans="1:7" ht="14.25">
      <c r="A37" s="243"/>
      <c r="B37" s="243"/>
      <c r="C37" s="243"/>
      <c r="D37" s="243"/>
      <c r="E37" s="243"/>
      <c r="F37" s="243"/>
      <c r="G37" s="243"/>
    </row>
    <row r="38" spans="1:7" ht="12.75">
      <c r="A38" s="187" t="s">
        <v>313</v>
      </c>
      <c r="B38" s="188"/>
      <c r="C38" s="88"/>
      <c r="D38" s="150"/>
      <c r="E38" s="88"/>
      <c r="F38" s="88"/>
      <c r="G38" s="88"/>
    </row>
    <row r="39" spans="1:7" ht="38.25">
      <c r="A39" s="163" t="s">
        <v>92</v>
      </c>
      <c r="B39" s="163" t="s">
        <v>205</v>
      </c>
      <c r="C39" s="163" t="s">
        <v>382</v>
      </c>
      <c r="D39" s="163" t="s">
        <v>206</v>
      </c>
      <c r="E39" s="164" t="s">
        <v>276</v>
      </c>
      <c r="F39" s="189" t="s">
        <v>207</v>
      </c>
      <c r="G39" s="88"/>
    </row>
    <row r="40" spans="1:8" s="81" customFormat="1" ht="12.75">
      <c r="A40" s="190" t="s">
        <v>208</v>
      </c>
      <c r="B40" s="191">
        <v>0.000767</v>
      </c>
      <c r="C40" s="191"/>
      <c r="D40" s="167" t="s">
        <v>366</v>
      </c>
      <c r="E40" s="174">
        <f>B40*$B$22*$B$21/1000000</f>
        <v>0.0014080585999999998</v>
      </c>
      <c r="F40" s="192">
        <f>B40*$B$22*$B$21*$B$20/(1000000*2000)</f>
        <v>7.040292999999999E-05</v>
      </c>
      <c r="G40" s="185"/>
      <c r="H40"/>
    </row>
    <row r="41" spans="1:7" ht="27" customHeight="1">
      <c r="A41" s="193" t="s">
        <v>209</v>
      </c>
      <c r="B41" s="194">
        <v>0.000933</v>
      </c>
      <c r="C41" s="194"/>
      <c r="D41" s="167" t="s">
        <v>366</v>
      </c>
      <c r="E41" s="174">
        <f>B41*$B$22*$B$21/1000000</f>
        <v>0.0017128014</v>
      </c>
      <c r="F41" s="192">
        <f>B41*$B$22*$B$21*$B$20/(1000000*2000)</f>
        <v>8.564007E-05</v>
      </c>
      <c r="G41" s="195"/>
    </row>
    <row r="42" spans="1:7" ht="29.25" customHeight="1">
      <c r="A42" s="193" t="s">
        <v>93</v>
      </c>
      <c r="B42" s="194"/>
      <c r="C42" s="271">
        <v>0.00307</v>
      </c>
      <c r="D42" s="201" t="s">
        <v>397</v>
      </c>
      <c r="E42" s="174">
        <f>C42*B21/1000</f>
        <v>4.1138E-05</v>
      </c>
      <c r="F42" s="192">
        <f>C42*B24/2000</f>
        <v>2.0569E-06</v>
      </c>
      <c r="G42" s="195"/>
    </row>
    <row r="43" spans="1:7" ht="13.5" customHeight="1">
      <c r="A43" s="193" t="s">
        <v>94</v>
      </c>
      <c r="B43" s="194">
        <v>0.00118</v>
      </c>
      <c r="C43" s="194"/>
      <c r="D43" s="167" t="s">
        <v>366</v>
      </c>
      <c r="E43" s="174">
        <f>B43*$B$22*$B$21/1000000</f>
        <v>0.0021662440000000003</v>
      </c>
      <c r="F43" s="192">
        <f>B43*$B$22*$B$21*$B$20/(1000000*2000)</f>
        <v>0.00010831220000000002</v>
      </c>
      <c r="G43" s="196"/>
    </row>
    <row r="44" spans="1:7" ht="13.5" customHeight="1">
      <c r="A44" s="193" t="s">
        <v>96</v>
      </c>
      <c r="B44" s="194">
        <v>8.48E-05</v>
      </c>
      <c r="C44" s="194"/>
      <c r="D44" s="167" t="s">
        <v>366</v>
      </c>
      <c r="E44" s="174">
        <f>B44*$B$22*$B$21/1000000</f>
        <v>0.00015567583999999998</v>
      </c>
      <c r="F44" s="192">
        <f>B44*$B$22*$B$21*$B$20/(1000000*2000)</f>
        <v>7.783792E-06</v>
      </c>
      <c r="G44" s="196"/>
    </row>
    <row r="45" spans="1:7" ht="13.5" customHeight="1">
      <c r="A45" s="193" t="s">
        <v>123</v>
      </c>
      <c r="B45" s="194">
        <v>0.000168</v>
      </c>
      <c r="C45" s="194"/>
      <c r="D45" s="167" t="s">
        <v>366</v>
      </c>
      <c r="E45" s="174">
        <f>B45*$B$22*$B$21/1000000</f>
        <v>0.0003084144</v>
      </c>
      <c r="F45" s="192">
        <f>B45*$B$22*$B$21*$B$20/(1000000*2000)</f>
        <v>1.542072E-05</v>
      </c>
      <c r="G45" s="196"/>
    </row>
    <row r="46" spans="1:8" s="84" customFormat="1" ht="13.5" customHeight="1">
      <c r="A46" s="197" t="s">
        <v>97</v>
      </c>
      <c r="B46" s="198">
        <v>0.000409</v>
      </c>
      <c r="C46" s="198"/>
      <c r="D46" s="167" t="s">
        <v>366</v>
      </c>
      <c r="E46" s="174">
        <f>B46*$B$22*$B$21/1000000</f>
        <v>0.0007508422</v>
      </c>
      <c r="F46" s="192">
        <f>B46*$B$22*$B$21*$B$20/(1000000*2000)</f>
        <v>3.754211E-05</v>
      </c>
      <c r="G46" s="196"/>
      <c r="H46"/>
    </row>
    <row r="47" spans="1:8" s="84" customFormat="1" ht="13.5" customHeight="1">
      <c r="A47" s="197" t="s">
        <v>98</v>
      </c>
      <c r="B47" s="198">
        <v>0.000285</v>
      </c>
      <c r="C47" s="198"/>
      <c r="D47" s="167" t="s">
        <v>366</v>
      </c>
      <c r="E47" s="174">
        <f>B47*$B$22*$B$21/1000000</f>
        <v>0.0005232030000000001</v>
      </c>
      <c r="F47" s="192">
        <f>B47*$B$22*$B$21*$B$20/(1000000*2000)</f>
        <v>2.6160150000000004E-05</v>
      </c>
      <c r="G47" s="195"/>
      <c r="H47"/>
    </row>
    <row r="48" spans="1:8" s="84" customFormat="1" ht="12.75">
      <c r="A48" s="82"/>
      <c r="H48"/>
    </row>
    <row r="49" s="84" customFormat="1" ht="12.75">
      <c r="H49"/>
    </row>
    <row r="50" spans="1:8" s="84" customFormat="1" ht="12.75">
      <c r="A50" s="72"/>
      <c r="B50" s="72"/>
      <c r="C50" s="72"/>
      <c r="D50" s="72"/>
      <c r="E50" s="72"/>
      <c r="F50" s="72"/>
      <c r="H50"/>
    </row>
    <row r="51" spans="1:8" s="84" customFormat="1" ht="12.75">
      <c r="A51" s="88"/>
      <c r="B51" s="72"/>
      <c r="C51" s="72"/>
      <c r="D51" s="72"/>
      <c r="E51" s="72"/>
      <c r="F51" s="72"/>
      <c r="H51"/>
    </row>
  </sheetData>
  <sheetProtection/>
  <mergeCells count="10">
    <mergeCell ref="A36:G36"/>
    <mergeCell ref="A11:A13"/>
    <mergeCell ref="A3:C3"/>
    <mergeCell ref="A1:F1"/>
    <mergeCell ref="A18:C18"/>
    <mergeCell ref="A6:A7"/>
    <mergeCell ref="A14:A16"/>
    <mergeCell ref="A8:A9"/>
    <mergeCell ref="A25:A26"/>
    <mergeCell ref="D25:G25"/>
  </mergeCells>
  <printOptions horizontalCentered="1"/>
  <pageMargins left="0.75" right="0.75" top="1" bottom="1" header="0.5" footer="0.5"/>
  <pageSetup fitToHeight="0" horizontalDpi="300" verticalDpi="300" orientation="landscape" scale="70" r:id="rId2"/>
  <headerFooter alignWithMargins="0">
    <oddFooter>&amp;L&amp;D
&amp;C&amp;P of &amp;N&amp;R&amp;A</oddFooter>
  </headerFooter>
  <rowBreaks count="2" manualBreakCount="2">
    <brk id="36" max="6" man="1"/>
    <brk id="81" max="255" man="1"/>
  </rowBreaks>
  <drawing r:id="rId1"/>
</worksheet>
</file>

<file path=xl/worksheets/sheet18.xml><?xml version="1.0" encoding="utf-8"?>
<worksheet xmlns="http://schemas.openxmlformats.org/spreadsheetml/2006/main" xmlns:r="http://schemas.openxmlformats.org/officeDocument/2006/relationships">
  <dimension ref="A1:M139"/>
  <sheetViews>
    <sheetView zoomScalePageLayoutView="0" workbookViewId="0" topLeftCell="A1">
      <selection activeCell="F27" sqref="F27"/>
    </sheetView>
  </sheetViews>
  <sheetFormatPr defaultColWidth="11.421875" defaultRowHeight="12.75"/>
  <cols>
    <col min="1" max="1" width="45.7109375" style="12" customWidth="1"/>
    <col min="2" max="2" width="15.00390625" style="12" customWidth="1"/>
    <col min="3" max="3" width="18.7109375" style="12" customWidth="1"/>
    <col min="4" max="4" width="15.28125" style="12" customWidth="1"/>
    <col min="5" max="16384" width="11.421875" style="12" customWidth="1"/>
  </cols>
  <sheetData>
    <row r="1" spans="1:7" ht="36.75" customHeight="1">
      <c r="A1" s="660" t="s">
        <v>316</v>
      </c>
      <c r="B1" s="660"/>
      <c r="C1" s="660"/>
      <c r="D1" s="660"/>
      <c r="E1" s="660"/>
      <c r="F1" s="660"/>
      <c r="G1" s="660"/>
    </row>
    <row r="2" spans="1:4" ht="12.75">
      <c r="A2" s="89"/>
      <c r="B2" s="89"/>
      <c r="C2" s="89"/>
      <c r="D2" s="89"/>
    </row>
    <row r="3" spans="1:3" s="72" customFormat="1" ht="12.75">
      <c r="A3" s="724" t="s">
        <v>120</v>
      </c>
      <c r="B3" s="724"/>
      <c r="C3" s="724"/>
    </row>
    <row r="4" spans="1:3" s="72" customFormat="1" ht="12.75">
      <c r="A4" s="150"/>
      <c r="B4" s="88"/>
      <c r="C4" s="88"/>
    </row>
    <row r="5" spans="1:3" ht="12.75">
      <c r="A5" s="715" t="s">
        <v>68</v>
      </c>
      <c r="B5" s="74">
        <v>14</v>
      </c>
      <c r="C5" s="167" t="s">
        <v>71</v>
      </c>
    </row>
    <row r="6" spans="1:3" ht="12.75">
      <c r="A6" s="717"/>
      <c r="B6" s="74">
        <f>B5*3.281</f>
        <v>45.934000000000005</v>
      </c>
      <c r="C6" s="430" t="s">
        <v>70</v>
      </c>
    </row>
    <row r="7" spans="1:3" ht="14.25">
      <c r="A7" s="715" t="s">
        <v>65</v>
      </c>
      <c r="B7" s="55">
        <v>70</v>
      </c>
      <c r="C7" s="202" t="s">
        <v>249</v>
      </c>
    </row>
    <row r="8" spans="1:4" ht="12.75">
      <c r="A8" s="717"/>
      <c r="B8" s="76">
        <f>((5/9)*(B7-32))+273.15</f>
        <v>294.26111111111106</v>
      </c>
      <c r="C8" s="167" t="s">
        <v>72</v>
      </c>
      <c r="D8" s="89"/>
    </row>
    <row r="9" spans="1:3" ht="14.25">
      <c r="A9" s="725" t="s">
        <v>398</v>
      </c>
      <c r="B9" s="92">
        <v>1430000</v>
      </c>
      <c r="C9" s="167" t="s">
        <v>314</v>
      </c>
    </row>
    <row r="10" spans="1:3" ht="14.25">
      <c r="A10" s="725"/>
      <c r="B10" s="75">
        <f>B9/(35.31*60)</f>
        <v>674.9740394600207</v>
      </c>
      <c r="C10" s="167" t="s">
        <v>315</v>
      </c>
    </row>
    <row r="11" spans="1:3" ht="12.75">
      <c r="A11" s="715" t="s">
        <v>399</v>
      </c>
      <c r="B11" s="75">
        <f>B10/(PI()*((B13/2)^2))</f>
        <v>8.594036387101305</v>
      </c>
      <c r="C11" s="167" t="s">
        <v>121</v>
      </c>
    </row>
    <row r="12" spans="1:3" ht="12.75">
      <c r="A12" s="717"/>
      <c r="B12" s="75">
        <f>B11*3.281</f>
        <v>28.197033386079383</v>
      </c>
      <c r="C12" s="430" t="s">
        <v>490</v>
      </c>
    </row>
    <row r="13" spans="1:3" ht="12.75">
      <c r="A13" s="725" t="s">
        <v>400</v>
      </c>
      <c r="B13" s="74">
        <v>10</v>
      </c>
      <c r="C13" s="91" t="s">
        <v>71</v>
      </c>
    </row>
    <row r="14" spans="1:3" ht="12.75">
      <c r="A14" s="725"/>
      <c r="B14" s="76">
        <f>B13*3.281</f>
        <v>32.81</v>
      </c>
      <c r="C14" s="52" t="s">
        <v>70</v>
      </c>
    </row>
    <row r="15" spans="1:4" ht="12.75">
      <c r="A15" s="85"/>
      <c r="B15" s="77"/>
      <c r="C15" s="179"/>
      <c r="D15" s="89"/>
    </row>
    <row r="16" spans="1:4" ht="12.75">
      <c r="A16" s="29" t="s">
        <v>223</v>
      </c>
      <c r="B16" s="89"/>
      <c r="C16" s="89"/>
      <c r="D16" s="89"/>
    </row>
    <row r="17" spans="1:2" ht="12.75">
      <c r="A17" s="55" t="s">
        <v>224</v>
      </c>
      <c r="B17" s="55">
        <f>'Bowie Sources'!B9</f>
        <v>1</v>
      </c>
    </row>
    <row r="18" spans="1:2" ht="12.75">
      <c r="A18" s="55" t="s">
        <v>225</v>
      </c>
      <c r="B18" s="55">
        <f>'Bowie Sources'!C9</f>
        <v>9</v>
      </c>
    </row>
    <row r="19" spans="1:3" ht="15.75">
      <c r="A19" s="55" t="s">
        <v>226</v>
      </c>
      <c r="B19" s="93">
        <v>4039</v>
      </c>
      <c r="C19" s="55" t="s">
        <v>179</v>
      </c>
    </row>
    <row r="20" spans="1:2" ht="12.75">
      <c r="A20" s="55" t="s">
        <v>227</v>
      </c>
      <c r="B20" s="94">
        <v>5E-06</v>
      </c>
    </row>
    <row r="21" spans="1:3" ht="12.75">
      <c r="A21" s="55" t="s">
        <v>403</v>
      </c>
      <c r="B21" s="95">
        <f>'Bowie Sources'!C10</f>
        <v>127860</v>
      </c>
      <c r="C21" s="55" t="s">
        <v>274</v>
      </c>
    </row>
    <row r="22" spans="1:2" ht="12.75">
      <c r="A22" s="55" t="s">
        <v>34</v>
      </c>
      <c r="B22" s="96">
        <f>'Bowie Sources'!E9</f>
        <v>1</v>
      </c>
    </row>
    <row r="23" ht="12.75">
      <c r="B23" s="13"/>
    </row>
    <row r="24" ht="12.75">
      <c r="A24" s="29" t="s">
        <v>252</v>
      </c>
    </row>
    <row r="25" ht="12.75">
      <c r="A25" s="12" t="s">
        <v>228</v>
      </c>
    </row>
    <row r="26" spans="1:3" ht="15.75">
      <c r="A26" s="55" t="s">
        <v>156</v>
      </c>
      <c r="B26" s="95">
        <f>B19</f>
        <v>4039</v>
      </c>
      <c r="C26" s="55" t="s">
        <v>179</v>
      </c>
    </row>
    <row r="27" spans="1:3" ht="15.75">
      <c r="A27" s="55" t="s">
        <v>155</v>
      </c>
      <c r="B27" s="95">
        <f>B26</f>
        <v>4039</v>
      </c>
      <c r="C27" s="55" t="s">
        <v>180</v>
      </c>
    </row>
    <row r="28" spans="1:3" ht="12.75">
      <c r="A28" s="55" t="s">
        <v>229</v>
      </c>
      <c r="B28" s="76">
        <f>B27*3.79/1000/453.59</f>
        <v>0.03374812054939483</v>
      </c>
      <c r="C28" s="76" t="s">
        <v>181</v>
      </c>
    </row>
    <row r="29" spans="1:3" ht="12.75">
      <c r="A29" s="47" t="s">
        <v>230</v>
      </c>
      <c r="B29" s="95">
        <f>B21</f>
        <v>127860</v>
      </c>
      <c r="C29" s="55" t="s">
        <v>274</v>
      </c>
    </row>
    <row r="30" spans="1:2" ht="12.75">
      <c r="A30" s="47" t="s">
        <v>231</v>
      </c>
      <c r="B30" s="98">
        <f>B20</f>
        <v>5E-06</v>
      </c>
    </row>
    <row r="31" spans="1:4" ht="12.75">
      <c r="A31" s="55" t="s">
        <v>88</v>
      </c>
      <c r="B31" s="99">
        <f>B29*B30</f>
        <v>0.6393000000000001</v>
      </c>
      <c r="C31" s="55" t="s">
        <v>274</v>
      </c>
      <c r="D31" s="38"/>
    </row>
    <row r="32" spans="1:4" ht="12.75">
      <c r="A32" s="66"/>
      <c r="B32" s="367"/>
      <c r="C32" s="66"/>
      <c r="D32" s="38"/>
    </row>
    <row r="33" spans="1:4" ht="25.5">
      <c r="A33" s="368" t="s">
        <v>204</v>
      </c>
      <c r="B33" s="368" t="s">
        <v>426</v>
      </c>
      <c r="C33" s="164" t="s">
        <v>276</v>
      </c>
      <c r="D33" s="163" t="s">
        <v>207</v>
      </c>
    </row>
    <row r="34" spans="1:4" ht="12.75">
      <c r="A34" s="53" t="s">
        <v>277</v>
      </c>
      <c r="B34" s="369"/>
      <c r="C34" s="76">
        <f>$B$28*B31*60</f>
        <v>1.294510408033687</v>
      </c>
      <c r="D34" s="76">
        <f>C34*8760/2000*B22</f>
        <v>5.669955587187549</v>
      </c>
    </row>
    <row r="35" spans="1:4" ht="15.75">
      <c r="A35" s="53" t="s">
        <v>311</v>
      </c>
      <c r="B35" s="76">
        <f>C99</f>
        <v>67.46688358927074</v>
      </c>
      <c r="C35" s="76">
        <f>C34*B35/100</f>
        <v>0.8733658300390813</v>
      </c>
      <c r="D35" s="76">
        <f>D34*B35/100</f>
        <v>3.825342335571176</v>
      </c>
    </row>
    <row r="36" spans="1:4" ht="15.75">
      <c r="A36" s="70" t="s">
        <v>417</v>
      </c>
      <c r="B36" s="76">
        <f>C100</f>
        <v>32.1522227473599</v>
      </c>
      <c r="C36" s="76">
        <f>C34*B36/100</f>
        <v>0.41621386987874864</v>
      </c>
      <c r="D36" s="76">
        <f>D34*B36/100</f>
        <v>1.823016750068919</v>
      </c>
    </row>
    <row r="37" spans="1:2" ht="15.75" customHeight="1">
      <c r="A37" s="12" t="s">
        <v>428</v>
      </c>
      <c r="B37" s="90"/>
    </row>
    <row r="38" spans="1:3" ht="14.25">
      <c r="A38" s="735"/>
      <c r="B38" s="735"/>
      <c r="C38" s="735"/>
    </row>
    <row r="39" ht="12.75">
      <c r="B39" s="90"/>
    </row>
    <row r="40" ht="12.75">
      <c r="B40" s="90"/>
    </row>
    <row r="41" ht="12.75">
      <c r="B41" s="90"/>
    </row>
    <row r="42" ht="12.75">
      <c r="B42" s="90"/>
    </row>
    <row r="43" ht="12.75">
      <c r="B43" s="90"/>
    </row>
    <row r="44" ht="12.75">
      <c r="B44" s="90"/>
    </row>
    <row r="45" ht="12.75">
      <c r="B45" s="90"/>
    </row>
    <row r="46" ht="12.75">
      <c r="B46" s="90"/>
    </row>
    <row r="47" ht="12.75">
      <c r="B47" s="90"/>
    </row>
    <row r="48" ht="12.75">
      <c r="B48" s="90"/>
    </row>
    <row r="49" ht="12.75">
      <c r="B49" s="90"/>
    </row>
    <row r="50" ht="12.75">
      <c r="B50" s="90"/>
    </row>
    <row r="83" spans="1:12" ht="12.75">
      <c r="A83" s="30" t="s">
        <v>427</v>
      </c>
      <c r="B83" s="4"/>
      <c r="C83" s="4"/>
      <c r="D83" s="4"/>
      <c r="E83" s="4"/>
      <c r="F83" s="4"/>
      <c r="G83" s="4"/>
      <c r="H83" s="4"/>
      <c r="I83" s="4"/>
      <c r="J83" s="4"/>
      <c r="K83" s="4"/>
      <c r="L83" s="4"/>
    </row>
    <row r="84" spans="1:12" ht="12.75">
      <c r="A84" s="4"/>
      <c r="B84" s="4"/>
      <c r="C84" s="4"/>
      <c r="D84" s="4"/>
      <c r="E84" s="4"/>
      <c r="F84" s="4"/>
      <c r="G84" s="4"/>
      <c r="H84" s="4"/>
      <c r="I84" s="4"/>
      <c r="J84" s="4"/>
      <c r="K84" s="4"/>
      <c r="L84" s="4"/>
    </row>
    <row r="85" spans="1:12" ht="12.75">
      <c r="A85" s="647" t="s">
        <v>418</v>
      </c>
      <c r="B85" s="647"/>
      <c r="C85" s="43">
        <f>B19</f>
        <v>4039</v>
      </c>
      <c r="D85" s="40" t="s">
        <v>419</v>
      </c>
      <c r="E85" s="5"/>
      <c r="F85" s="4"/>
      <c r="G85" s="4"/>
      <c r="H85" s="4"/>
      <c r="I85" s="4"/>
      <c r="J85" s="4"/>
      <c r="K85" s="4"/>
      <c r="L85" s="4"/>
    </row>
    <row r="86" spans="1:12" ht="12.75">
      <c r="A86" s="4"/>
      <c r="B86" s="4"/>
      <c r="C86" s="4"/>
      <c r="D86" s="4"/>
      <c r="E86" s="4"/>
      <c r="F86" s="4"/>
      <c r="G86" s="4"/>
      <c r="H86" s="4"/>
      <c r="I86" s="4"/>
      <c r="J86" s="4"/>
      <c r="K86" s="4"/>
      <c r="L86" s="4"/>
    </row>
    <row r="87" spans="1:12" ht="12.75">
      <c r="A87" s="4"/>
      <c r="B87" s="4"/>
      <c r="C87" s="4"/>
      <c r="D87" s="4"/>
      <c r="E87" s="4"/>
      <c r="F87" s="4"/>
      <c r="G87" s="4"/>
      <c r="H87" s="4"/>
      <c r="I87" s="4"/>
      <c r="J87" s="4"/>
      <c r="K87" s="4"/>
      <c r="L87" s="4"/>
    </row>
    <row r="88" spans="1:13" ht="27">
      <c r="A88" s="405" t="s">
        <v>420</v>
      </c>
      <c r="B88" s="405" t="s">
        <v>474</v>
      </c>
      <c r="C88" s="405" t="s">
        <v>470</v>
      </c>
      <c r="D88" s="405" t="s">
        <v>421</v>
      </c>
      <c r="E88"/>
      <c r="F88"/>
      <c r="G88"/>
      <c r="H88" s="4"/>
      <c r="I88" s="4"/>
      <c r="J88" s="4"/>
      <c r="K88" s="4"/>
      <c r="L88" s="4"/>
      <c r="M88" s="4"/>
    </row>
    <row r="89" spans="1:13" ht="12.75">
      <c r="A89" s="406">
        <v>525</v>
      </c>
      <c r="B89" s="407">
        <v>0.2</v>
      </c>
      <c r="C89" s="42">
        <f>100-B89</f>
        <v>99.8</v>
      </c>
      <c r="D89" s="233">
        <f>A89*(($C$85/1000000*(1/2.2))^(1/3))</f>
        <v>64.28500680137702</v>
      </c>
      <c r="E89"/>
      <c r="F89"/>
      <c r="G89"/>
      <c r="H89" s="4"/>
      <c r="I89" s="4"/>
      <c r="J89" s="4"/>
      <c r="K89" s="4"/>
      <c r="L89" s="4"/>
      <c r="M89" s="4"/>
    </row>
    <row r="90" spans="1:13" ht="12.75">
      <c r="A90" s="406">
        <v>375</v>
      </c>
      <c r="B90" s="407">
        <v>1</v>
      </c>
      <c r="C90" s="42">
        <f aca="true" t="shared" si="0" ref="C90:C97">100-B90</f>
        <v>99</v>
      </c>
      <c r="D90" s="233">
        <f aca="true" t="shared" si="1" ref="D90:D97">A90*(($C$85/1000000*(1/2.2))^(1/3))</f>
        <v>45.91786200098359</v>
      </c>
      <c r="E90"/>
      <c r="F90"/>
      <c r="G90"/>
      <c r="H90" s="4"/>
      <c r="I90" s="4"/>
      <c r="J90" s="4"/>
      <c r="K90" s="4"/>
      <c r="L90" s="4"/>
      <c r="M90" s="4"/>
    </row>
    <row r="91" spans="1:13" ht="12.75">
      <c r="A91" s="406">
        <v>230</v>
      </c>
      <c r="B91" s="407">
        <v>5</v>
      </c>
      <c r="C91" s="42">
        <f t="shared" si="0"/>
        <v>95</v>
      </c>
      <c r="D91" s="233">
        <f t="shared" si="1"/>
        <v>28.162955360603267</v>
      </c>
      <c r="E91" s="4"/>
      <c r="F91" s="4"/>
      <c r="G91" s="4"/>
      <c r="H91" s="4"/>
      <c r="I91" s="4"/>
      <c r="J91" s="4"/>
      <c r="K91" s="4"/>
      <c r="L91" s="4"/>
      <c r="M91" s="4"/>
    </row>
    <row r="92" spans="1:13" ht="12.75">
      <c r="A92" s="406">
        <v>170</v>
      </c>
      <c r="B92" s="407">
        <v>10</v>
      </c>
      <c r="C92" s="42">
        <f t="shared" si="0"/>
        <v>90</v>
      </c>
      <c r="D92" s="233">
        <f t="shared" si="1"/>
        <v>20.816097440445894</v>
      </c>
      <c r="E92" s="4"/>
      <c r="F92" s="4"/>
      <c r="G92" s="4"/>
      <c r="H92" s="4"/>
      <c r="I92" s="4"/>
      <c r="J92" s="4"/>
      <c r="K92" s="4"/>
      <c r="L92" s="4"/>
      <c r="M92" s="4"/>
    </row>
    <row r="93" spans="1:13" ht="12.75">
      <c r="A93" s="406">
        <v>115</v>
      </c>
      <c r="B93" s="407">
        <v>20</v>
      </c>
      <c r="C93" s="42">
        <f t="shared" si="0"/>
        <v>80</v>
      </c>
      <c r="D93" s="233">
        <f t="shared" si="1"/>
        <v>14.081477680301633</v>
      </c>
      <c r="E93" s="734"/>
      <c r="F93" s="733"/>
      <c r="G93" s="733"/>
      <c r="H93" s="733"/>
      <c r="I93" s="733"/>
      <c r="J93" s="4"/>
      <c r="K93" s="4"/>
      <c r="L93" s="4"/>
      <c r="M93" s="4"/>
    </row>
    <row r="94" spans="1:13" ht="12.75">
      <c r="A94" s="406">
        <v>65</v>
      </c>
      <c r="B94" s="407">
        <v>40</v>
      </c>
      <c r="C94" s="42">
        <f t="shared" si="0"/>
        <v>60</v>
      </c>
      <c r="D94" s="233">
        <f t="shared" si="1"/>
        <v>7.959096080170489</v>
      </c>
      <c r="E94" s="4"/>
      <c r="F94" s="4"/>
      <c r="G94" s="4"/>
      <c r="H94" s="4"/>
      <c r="I94" s="4"/>
      <c r="J94" s="4"/>
      <c r="K94" s="4"/>
      <c r="L94" s="4"/>
      <c r="M94" s="4"/>
    </row>
    <row r="95" spans="1:13" ht="12.75">
      <c r="A95" s="406">
        <v>35</v>
      </c>
      <c r="B95" s="407">
        <v>60</v>
      </c>
      <c r="C95" s="42">
        <f t="shared" si="0"/>
        <v>40</v>
      </c>
      <c r="D95" s="233">
        <f t="shared" si="1"/>
        <v>4.2856671200918015</v>
      </c>
      <c r="E95" s="734"/>
      <c r="F95" s="733"/>
      <c r="G95" s="733"/>
      <c r="H95" s="733"/>
      <c r="I95" s="733"/>
      <c r="J95" s="4"/>
      <c r="K95" s="4"/>
      <c r="L95" s="4"/>
      <c r="M95" s="4"/>
    </row>
    <row r="96" spans="1:13" ht="12.75">
      <c r="A96" s="406">
        <v>15</v>
      </c>
      <c r="B96" s="407">
        <v>80</v>
      </c>
      <c r="C96" s="42">
        <f t="shared" si="0"/>
        <v>20</v>
      </c>
      <c r="D96" s="233">
        <f t="shared" si="1"/>
        <v>1.8367144800393436</v>
      </c>
      <c r="E96" s="4"/>
      <c r="F96" s="4"/>
      <c r="G96" s="4"/>
      <c r="H96" s="4"/>
      <c r="I96" s="4"/>
      <c r="J96" s="4"/>
      <c r="K96" s="4"/>
      <c r="L96" s="4"/>
      <c r="M96" s="4"/>
    </row>
    <row r="97" spans="1:13" ht="12.75">
      <c r="A97" s="406">
        <v>10</v>
      </c>
      <c r="B97" s="407">
        <v>88</v>
      </c>
      <c r="C97" s="42">
        <f t="shared" si="0"/>
        <v>12</v>
      </c>
      <c r="D97" s="233">
        <f t="shared" si="1"/>
        <v>1.224476320026229</v>
      </c>
      <c r="E97" s="4"/>
      <c r="F97" s="4"/>
      <c r="G97" s="4"/>
      <c r="H97" s="4"/>
      <c r="I97" s="4"/>
      <c r="J97" s="4"/>
      <c r="K97" s="4"/>
      <c r="L97" s="4"/>
      <c r="M97" s="4"/>
    </row>
    <row r="98" spans="1:13" ht="12.75">
      <c r="A98"/>
      <c r="B98"/>
      <c r="C98"/>
      <c r="D98"/>
      <c r="E98" s="4"/>
      <c r="F98" s="4"/>
      <c r="G98" s="4"/>
      <c r="H98" s="4"/>
      <c r="I98" s="4"/>
      <c r="J98" s="4"/>
      <c r="K98" s="4"/>
      <c r="L98" s="4"/>
      <c r="M98" s="4"/>
    </row>
    <row r="99" spans="1:13" ht="12.75">
      <c r="A99" s="415">
        <f>D99/($C$85/1000000*1/2.2)^(1/3)</f>
        <v>81.66756544369754</v>
      </c>
      <c r="B99" s="407">
        <f>86.684*(EXP(-0.012*A99))</f>
        <v>32.53311641072926</v>
      </c>
      <c r="C99" s="42">
        <f>100-B99</f>
        <v>67.46688358927074</v>
      </c>
      <c r="D99" s="227">
        <v>10</v>
      </c>
      <c r="E99" s="4"/>
      <c r="F99" s="4"/>
      <c r="G99" s="4"/>
      <c r="H99" s="4"/>
      <c r="I99" s="4"/>
      <c r="J99" s="4"/>
      <c r="K99" s="4"/>
      <c r="L99" s="4"/>
      <c r="M99" s="4"/>
    </row>
    <row r="100" spans="1:13" ht="12.75">
      <c r="A100" s="415">
        <f>D100/($C$85/1000000*1/2.2)^(1/3)</f>
        <v>20.416891360924385</v>
      </c>
      <c r="B100" s="407">
        <f>86.684*(EXP(-0.012*A100))</f>
        <v>67.8477772526401</v>
      </c>
      <c r="C100" s="42">
        <f>100-B100</f>
        <v>32.1522227473599</v>
      </c>
      <c r="D100" s="42">
        <v>2.5</v>
      </c>
      <c r="E100" s="414"/>
      <c r="F100" s="413"/>
      <c r="G100" s="413"/>
      <c r="H100" s="413"/>
      <c r="I100" s="413"/>
      <c r="J100" s="4"/>
      <c r="K100" s="4"/>
      <c r="L100" s="4"/>
      <c r="M100" s="4"/>
    </row>
    <row r="101" spans="1:12" ht="29.25" customHeight="1">
      <c r="A101" s="733" t="s">
        <v>475</v>
      </c>
      <c r="B101" s="659"/>
      <c r="C101" s="659"/>
      <c r="D101" s="659"/>
      <c r="E101" s="4"/>
      <c r="F101" s="4"/>
      <c r="G101" s="4"/>
      <c r="H101" s="4"/>
      <c r="I101" s="4"/>
      <c r="J101" s="4"/>
      <c r="K101" s="4"/>
      <c r="L101" s="4"/>
    </row>
    <row r="102" spans="1:12" ht="12.75">
      <c r="A102" s="413"/>
      <c r="B102" s="24"/>
      <c r="C102" s="24"/>
      <c r="D102" s="24"/>
      <c r="E102" s="4"/>
      <c r="F102" s="4"/>
      <c r="G102" s="4"/>
      <c r="H102" s="4"/>
      <c r="I102" s="4"/>
      <c r="J102" s="4"/>
      <c r="K102" s="4"/>
      <c r="L102" s="4"/>
    </row>
    <row r="103" spans="1:12" ht="12.75">
      <c r="A103" s="413"/>
      <c r="B103" s="24"/>
      <c r="C103" s="24"/>
      <c r="D103" s="24"/>
      <c r="E103" s="4"/>
      <c r="F103" s="4"/>
      <c r="G103" s="4"/>
      <c r="H103" s="4"/>
      <c r="I103" s="4"/>
      <c r="J103" s="4"/>
      <c r="K103" s="4"/>
      <c r="L103" s="4"/>
    </row>
    <row r="104" spans="1:12" ht="12.75">
      <c r="A104" s="413"/>
      <c r="B104" s="24"/>
      <c r="C104" s="24"/>
      <c r="D104" s="24"/>
      <c r="E104" s="4"/>
      <c r="F104" s="4"/>
      <c r="G104" s="4"/>
      <c r="H104" s="4"/>
      <c r="I104" s="4"/>
      <c r="J104" s="4"/>
      <c r="K104" s="4"/>
      <c r="L104" s="4"/>
    </row>
    <row r="105" spans="1:12" ht="12.75">
      <c r="A105" s="413"/>
      <c r="B105" s="24"/>
      <c r="C105" s="24"/>
      <c r="D105" s="24"/>
      <c r="E105" s="4"/>
      <c r="F105" s="4"/>
      <c r="G105" s="4"/>
      <c r="H105" s="4"/>
      <c r="I105" s="4"/>
      <c r="J105" s="4"/>
      <c r="K105" s="4"/>
      <c r="L105" s="4"/>
    </row>
    <row r="106" spans="1:12" ht="12.75">
      <c r="A106" s="413"/>
      <c r="B106" s="24"/>
      <c r="C106" s="24"/>
      <c r="D106" s="24"/>
      <c r="E106" s="4"/>
      <c r="F106" s="4"/>
      <c r="G106" s="4"/>
      <c r="H106" s="4"/>
      <c r="I106" s="4"/>
      <c r="J106" s="4"/>
      <c r="K106" s="4"/>
      <c r="L106" s="4"/>
    </row>
    <row r="107" spans="1:12" ht="12.75">
      <c r="A107" s="413"/>
      <c r="B107" s="24"/>
      <c r="C107" s="24"/>
      <c r="D107" s="24"/>
      <c r="E107" s="4"/>
      <c r="F107" s="4"/>
      <c r="G107" s="4"/>
      <c r="H107" s="4"/>
      <c r="I107" s="4"/>
      <c r="J107" s="4"/>
      <c r="K107" s="4"/>
      <c r="L107" s="4"/>
    </row>
    <row r="108" spans="1:12" ht="12.75">
      <c r="A108" s="413"/>
      <c r="B108" s="24"/>
      <c r="C108" s="24"/>
      <c r="D108" s="24"/>
      <c r="E108" s="4"/>
      <c r="F108" s="4"/>
      <c r="G108" s="4"/>
      <c r="H108" s="4"/>
      <c r="I108" s="4"/>
      <c r="J108" s="4"/>
      <c r="K108" s="4"/>
      <c r="L108" s="4"/>
    </row>
    <row r="109" spans="1:12" ht="12.75">
      <c r="A109" s="413"/>
      <c r="B109" s="24"/>
      <c r="C109" s="24"/>
      <c r="D109" s="24"/>
      <c r="E109" s="4"/>
      <c r="F109" s="4"/>
      <c r="G109" s="4"/>
      <c r="H109" s="4"/>
      <c r="I109" s="4"/>
      <c r="J109" s="4"/>
      <c r="K109" s="4"/>
      <c r="L109" s="4"/>
    </row>
    <row r="110" spans="1:12" ht="12.75">
      <c r="A110" s="413"/>
      <c r="B110" s="24"/>
      <c r="C110" s="24"/>
      <c r="D110" s="24"/>
      <c r="E110" s="4"/>
      <c r="F110" s="4"/>
      <c r="G110" s="4"/>
      <c r="H110" s="4"/>
      <c r="I110" s="4"/>
      <c r="J110" s="4"/>
      <c r="K110" s="4"/>
      <c r="L110" s="4"/>
    </row>
    <row r="111" spans="1:12" ht="12.75">
      <c r="A111" s="413"/>
      <c r="B111" s="24"/>
      <c r="C111" s="24"/>
      <c r="D111" s="24"/>
      <c r="E111" s="4"/>
      <c r="F111" s="4"/>
      <c r="G111" s="4"/>
      <c r="H111" s="4"/>
      <c r="I111" s="4"/>
      <c r="J111" s="4"/>
      <c r="K111" s="4"/>
      <c r="L111" s="4"/>
    </row>
    <row r="112" spans="1:12" ht="12.75">
      <c r="A112" s="413"/>
      <c r="B112" s="24"/>
      <c r="C112" s="24"/>
      <c r="D112" s="24"/>
      <c r="E112" s="4"/>
      <c r="F112" s="4"/>
      <c r="G112" s="4"/>
      <c r="H112" s="4"/>
      <c r="I112" s="4"/>
      <c r="J112" s="4"/>
      <c r="K112" s="4"/>
      <c r="L112" s="4"/>
    </row>
    <row r="113" spans="1:12" ht="12.75">
      <c r="A113" s="413"/>
      <c r="B113" s="24"/>
      <c r="C113" s="24"/>
      <c r="D113" s="24"/>
      <c r="E113" s="4"/>
      <c r="F113" s="4"/>
      <c r="G113" s="4"/>
      <c r="H113" s="4"/>
      <c r="I113" s="4"/>
      <c r="J113" s="4"/>
      <c r="K113" s="4"/>
      <c r="L113" s="4"/>
    </row>
    <row r="114" spans="1:12" ht="12.75">
      <c r="A114" s="413"/>
      <c r="B114" s="24"/>
      <c r="C114" s="24"/>
      <c r="D114" s="24"/>
      <c r="E114" s="4"/>
      <c r="F114" s="4"/>
      <c r="G114" s="4"/>
      <c r="H114" s="4"/>
      <c r="I114" s="4"/>
      <c r="J114" s="4"/>
      <c r="K114" s="4"/>
      <c r="L114" s="4"/>
    </row>
    <row r="115" spans="1:12" ht="12.75">
      <c r="A115" s="413"/>
      <c r="B115" s="24"/>
      <c r="C115" s="24"/>
      <c r="D115" s="24"/>
      <c r="E115" s="4"/>
      <c r="F115" s="4"/>
      <c r="G115" s="4"/>
      <c r="H115" s="4"/>
      <c r="I115" s="4"/>
      <c r="J115" s="4"/>
      <c r="K115" s="4"/>
      <c r="L115" s="4"/>
    </row>
    <row r="116" spans="1:12" ht="12.75">
      <c r="A116" s="413"/>
      <c r="B116" s="24"/>
      <c r="C116" s="24"/>
      <c r="D116" s="24"/>
      <c r="E116" s="4"/>
      <c r="F116" s="4"/>
      <c r="G116" s="4"/>
      <c r="H116" s="4"/>
      <c r="I116" s="4"/>
      <c r="J116" s="4"/>
      <c r="K116" s="4"/>
      <c r="L116" s="4"/>
    </row>
    <row r="117" spans="1:12" ht="12.75">
      <c r="A117" s="413"/>
      <c r="B117" s="24"/>
      <c r="C117" s="24"/>
      <c r="D117" s="24"/>
      <c r="E117" s="4"/>
      <c r="F117" s="4"/>
      <c r="G117" s="4"/>
      <c r="H117" s="4"/>
      <c r="I117" s="4"/>
      <c r="J117" s="4"/>
      <c r="K117" s="4"/>
      <c r="L117" s="4"/>
    </row>
    <row r="118" spans="1:12" ht="12.75">
      <c r="A118" s="4"/>
      <c r="B118" s="4"/>
      <c r="C118" s="4"/>
      <c r="D118" s="4"/>
      <c r="E118" s="4"/>
      <c r="F118" s="4"/>
      <c r="G118" s="4"/>
      <c r="H118" s="4"/>
      <c r="I118" s="4"/>
      <c r="J118" s="4"/>
      <c r="K118" s="4"/>
      <c r="L118" s="4"/>
    </row>
    <row r="119" spans="1:12" ht="12.75">
      <c r="A119" s="4"/>
      <c r="B119" s="4"/>
      <c r="C119" s="4"/>
      <c r="D119" s="4"/>
      <c r="E119" s="4"/>
      <c r="F119" s="4"/>
      <c r="G119" s="4"/>
      <c r="H119" s="4"/>
      <c r="I119" s="4"/>
      <c r="J119" s="4"/>
      <c r="K119" s="4"/>
      <c r="L119" s="4"/>
    </row>
    <row r="120" spans="1:12" ht="12.75">
      <c r="A120" s="4"/>
      <c r="B120" s="4"/>
      <c r="C120" s="4"/>
      <c r="D120" s="4"/>
      <c r="E120" s="4"/>
      <c r="F120" s="4"/>
      <c r="G120" s="4"/>
      <c r="H120" s="4"/>
      <c r="I120" s="4"/>
      <c r="J120" s="4"/>
      <c r="K120" s="4"/>
      <c r="L120" s="4"/>
    </row>
    <row r="121" spans="1:12" ht="12.75">
      <c r="A121" s="4"/>
      <c r="B121" s="4"/>
      <c r="C121" s="4"/>
      <c r="D121" s="4"/>
      <c r="E121" s="4"/>
      <c r="F121" s="4"/>
      <c r="G121" s="4"/>
      <c r="H121" s="4"/>
      <c r="I121" s="4"/>
      <c r="J121" s="4"/>
      <c r="K121" s="4"/>
      <c r="L121" s="4"/>
    </row>
    <row r="122" spans="1:12" ht="12.75">
      <c r="A122" s="4"/>
      <c r="B122" s="4"/>
      <c r="C122" s="4"/>
      <c r="D122" s="4"/>
      <c r="E122" s="4"/>
      <c r="F122" s="4"/>
      <c r="G122" s="4"/>
      <c r="H122" s="4"/>
      <c r="I122" s="4"/>
      <c r="J122" s="4"/>
      <c r="K122" s="4"/>
      <c r="L122" s="4"/>
    </row>
    <row r="123" spans="1:12" ht="12.75">
      <c r="A123" s="4"/>
      <c r="B123" s="4"/>
      <c r="C123" s="4"/>
      <c r="D123" s="4"/>
      <c r="E123" s="4"/>
      <c r="F123" s="4"/>
      <c r="G123" s="4"/>
      <c r="H123" s="4"/>
      <c r="I123" s="4"/>
      <c r="J123" s="4"/>
      <c r="K123" s="4"/>
      <c r="L123" s="4"/>
    </row>
    <row r="124" spans="1:12" ht="12.75">
      <c r="A124" s="4"/>
      <c r="B124" s="4"/>
      <c r="C124" s="4"/>
      <c r="D124" s="4"/>
      <c r="E124" s="4"/>
      <c r="F124" s="4"/>
      <c r="G124" s="4"/>
      <c r="H124" s="4"/>
      <c r="I124" s="4"/>
      <c r="J124" s="4"/>
      <c r="K124" s="4"/>
      <c r="L124" s="4"/>
    </row>
    <row r="125" spans="1:12" ht="12.75">
      <c r="A125" s="4"/>
      <c r="B125" s="4"/>
      <c r="C125" s="4"/>
      <c r="D125" s="4"/>
      <c r="E125" s="4"/>
      <c r="F125" s="4"/>
      <c r="G125" s="4"/>
      <c r="H125" s="4"/>
      <c r="I125" s="4"/>
      <c r="J125" s="4"/>
      <c r="K125" s="4"/>
      <c r="L125" s="4"/>
    </row>
    <row r="126" spans="1:12" ht="12.75">
      <c r="A126" s="4"/>
      <c r="B126" s="4"/>
      <c r="C126" s="4"/>
      <c r="D126" s="4"/>
      <c r="E126" s="4"/>
      <c r="F126" s="4"/>
      <c r="G126" s="4"/>
      <c r="H126" s="4"/>
      <c r="I126" s="4"/>
      <c r="J126" s="4"/>
      <c r="K126" s="4"/>
      <c r="L126" s="4"/>
    </row>
    <row r="127" spans="1:12" ht="12.75">
      <c r="A127" s="4"/>
      <c r="B127" s="4"/>
      <c r="C127" s="4"/>
      <c r="D127" s="4"/>
      <c r="E127" s="4"/>
      <c r="F127" s="4"/>
      <c r="G127" s="4"/>
      <c r="H127" s="4"/>
      <c r="I127" s="4"/>
      <c r="J127" s="4"/>
      <c r="K127" s="4"/>
      <c r="L127" s="4"/>
    </row>
    <row r="128" spans="1:12" ht="12.75">
      <c r="A128" s="4"/>
      <c r="B128" s="4"/>
      <c r="C128" s="4"/>
      <c r="D128" s="4"/>
      <c r="E128" s="4"/>
      <c r="F128" s="4"/>
      <c r="G128" s="4"/>
      <c r="H128" s="4"/>
      <c r="I128" s="4"/>
      <c r="J128" s="4"/>
      <c r="K128" s="4"/>
      <c r="L128" s="4"/>
    </row>
    <row r="129" spans="1:12" ht="12.75">
      <c r="A129" s="4"/>
      <c r="B129" s="4"/>
      <c r="C129" s="4"/>
      <c r="D129" s="4"/>
      <c r="E129" s="4"/>
      <c r="F129" s="4"/>
      <c r="G129" s="4"/>
      <c r="H129" s="4"/>
      <c r="I129" s="4"/>
      <c r="J129" s="4"/>
      <c r="K129" s="4"/>
      <c r="L129" s="4"/>
    </row>
    <row r="130" spans="1:12" ht="12.75">
      <c r="A130" s="4"/>
      <c r="B130" s="4"/>
      <c r="C130" s="4"/>
      <c r="D130" s="4"/>
      <c r="E130" s="4"/>
      <c r="F130" s="4"/>
      <c r="G130" s="4"/>
      <c r="H130" s="4"/>
      <c r="I130" s="4"/>
      <c r="J130" s="4"/>
      <c r="K130" s="4"/>
      <c r="L130" s="4"/>
    </row>
    <row r="131" spans="1:12" ht="12.75">
      <c r="A131" s="4"/>
      <c r="B131" s="4"/>
      <c r="C131" s="4"/>
      <c r="D131" s="4"/>
      <c r="E131" s="4"/>
      <c r="F131" s="4"/>
      <c r="G131" s="4"/>
      <c r="H131" s="4"/>
      <c r="I131" s="4"/>
      <c r="J131" s="4"/>
      <c r="K131" s="4"/>
      <c r="L131" s="4"/>
    </row>
    <row r="132" spans="1:12" ht="12.75">
      <c r="A132" s="4"/>
      <c r="B132" s="4"/>
      <c r="C132" s="4"/>
      <c r="D132" s="4"/>
      <c r="E132" s="4"/>
      <c r="F132" s="4"/>
      <c r="G132" s="4"/>
      <c r="H132" s="4"/>
      <c r="I132" s="4"/>
      <c r="J132" s="4"/>
      <c r="K132" s="4"/>
      <c r="L132" s="4"/>
    </row>
    <row r="133" spans="1:12" ht="12.75">
      <c r="A133" s="4"/>
      <c r="B133" s="4"/>
      <c r="C133" s="4"/>
      <c r="D133" s="4"/>
      <c r="E133" s="4"/>
      <c r="F133" s="4"/>
      <c r="G133" s="4"/>
      <c r="H133" s="4"/>
      <c r="I133" s="4"/>
      <c r="J133" s="4"/>
      <c r="K133" s="4"/>
      <c r="L133" s="4"/>
    </row>
    <row r="134" spans="1:12" ht="12.75">
      <c r="A134" s="4"/>
      <c r="B134" s="4"/>
      <c r="C134" s="4"/>
      <c r="D134" s="4"/>
      <c r="E134" s="4"/>
      <c r="F134" s="4"/>
      <c r="G134" s="4"/>
      <c r="H134" s="4"/>
      <c r="I134" s="4"/>
      <c r="J134" s="4"/>
      <c r="K134" s="4"/>
      <c r="L134" s="4"/>
    </row>
    <row r="135" spans="1:12" ht="12.75">
      <c r="A135" s="4"/>
      <c r="B135" s="4"/>
      <c r="C135" s="4"/>
      <c r="D135" s="4"/>
      <c r="E135" s="4"/>
      <c r="F135" s="4"/>
      <c r="G135" s="4"/>
      <c r="H135" s="4"/>
      <c r="I135" s="4"/>
      <c r="J135" s="4"/>
      <c r="K135" s="4"/>
      <c r="L135" s="4"/>
    </row>
    <row r="136" spans="1:12" ht="12.75">
      <c r="A136" s="4"/>
      <c r="B136" s="4"/>
      <c r="C136" s="4"/>
      <c r="D136" s="4"/>
      <c r="E136" s="4"/>
      <c r="F136" s="4"/>
      <c r="G136" s="4"/>
      <c r="H136" s="4"/>
      <c r="I136" s="4"/>
      <c r="J136" s="4"/>
      <c r="K136" s="4"/>
      <c r="L136" s="4"/>
    </row>
    <row r="137" spans="1:12" ht="12.75">
      <c r="A137" s="4"/>
      <c r="B137" s="4"/>
      <c r="C137" s="4"/>
      <c r="D137" s="4"/>
      <c r="E137" s="4"/>
      <c r="F137" s="4"/>
      <c r="G137" s="4"/>
      <c r="H137" s="4"/>
      <c r="I137" s="4"/>
      <c r="J137" s="4"/>
      <c r="K137" s="4"/>
      <c r="L137" s="4"/>
    </row>
    <row r="138" spans="1:12" ht="12.75">
      <c r="A138" s="4"/>
      <c r="B138" s="4"/>
      <c r="C138" s="4"/>
      <c r="D138" s="4"/>
      <c r="E138" s="4"/>
      <c r="F138" s="4"/>
      <c r="G138" s="4"/>
      <c r="H138" s="4"/>
      <c r="I138" s="4"/>
      <c r="J138" s="4"/>
      <c r="K138" s="4"/>
      <c r="L138" s="4"/>
    </row>
    <row r="139" spans="1:12" ht="12.75">
      <c r="A139" s="4"/>
      <c r="B139" s="4"/>
      <c r="C139" s="4"/>
      <c r="D139" s="4"/>
      <c r="E139" s="4"/>
      <c r="F139" s="4"/>
      <c r="G139" s="4"/>
      <c r="H139" s="4"/>
      <c r="I139" s="4"/>
      <c r="J139" s="4"/>
      <c r="K139" s="4"/>
      <c r="L139" s="4"/>
    </row>
  </sheetData>
  <sheetProtection/>
  <mergeCells count="12">
    <mergeCell ref="A11:A12"/>
    <mergeCell ref="A13:A14"/>
    <mergeCell ref="A101:D101"/>
    <mergeCell ref="E93:I93"/>
    <mergeCell ref="E95:I95"/>
    <mergeCell ref="A1:G1"/>
    <mergeCell ref="A85:B85"/>
    <mergeCell ref="A3:C3"/>
    <mergeCell ref="A38:C38"/>
    <mergeCell ref="A9:A10"/>
    <mergeCell ref="A7:A8"/>
    <mergeCell ref="A5:A6"/>
  </mergeCells>
  <printOptions horizontalCentered="1"/>
  <pageMargins left="0.75" right="0.75" top="1" bottom="1" header="0.5" footer="0.5"/>
  <pageSetup fitToHeight="0" horizontalDpi="300" verticalDpi="300" orientation="landscape" scale="70" r:id="rId2"/>
  <headerFooter alignWithMargins="0">
    <oddFooter>&amp;L&amp;D
&amp;C&amp;P of &amp;N&amp;R&amp;A</oddFooter>
  </headerFooter>
  <rowBreaks count="3" manualBreakCount="3">
    <brk id="39" max="255" man="1"/>
    <brk id="82" max="255" man="1"/>
    <brk id="124" max="255"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H12" sqref="H12"/>
    </sheetView>
  </sheetViews>
  <sheetFormatPr defaultColWidth="11.421875" defaultRowHeight="12.75"/>
  <cols>
    <col min="1" max="1" width="60.7109375" style="11" customWidth="1"/>
    <col min="2" max="2" width="13.421875" style="11" bestFit="1" customWidth="1"/>
    <col min="3" max="3" width="13.7109375" style="11" customWidth="1"/>
    <col min="4" max="5" width="12.28125" style="11" customWidth="1"/>
    <col min="6" max="16384" width="11.421875" style="11" customWidth="1"/>
  </cols>
  <sheetData>
    <row r="1" spans="1:5" ht="34.5" customHeight="1">
      <c r="A1" s="736" t="s">
        <v>319</v>
      </c>
      <c r="B1" s="736"/>
      <c r="C1" s="736"/>
      <c r="D1" s="736"/>
      <c r="E1" s="736"/>
    </row>
    <row r="2" spans="1:3" ht="12.75">
      <c r="A2" s="203"/>
      <c r="B2" s="203"/>
      <c r="C2" s="203"/>
    </row>
    <row r="3" spans="1:3" ht="12.75">
      <c r="A3" s="272" t="s">
        <v>135</v>
      </c>
      <c r="B3" s="273">
        <f>'Bowie Sources'!E9</f>
        <v>1</v>
      </c>
      <c r="C3" s="203"/>
    </row>
    <row r="5" ht="12.75">
      <c r="A5" s="1" t="s">
        <v>136</v>
      </c>
    </row>
    <row r="6" ht="12.75">
      <c r="A6" s="1" t="s">
        <v>232</v>
      </c>
    </row>
    <row r="7" spans="1:3" ht="39.75">
      <c r="A7" s="47" t="s">
        <v>317</v>
      </c>
      <c r="B7" s="74">
        <v>2.3</v>
      </c>
      <c r="C7" s="73" t="s">
        <v>318</v>
      </c>
    </row>
    <row r="8" spans="1:3" ht="12.75">
      <c r="A8" s="55" t="s">
        <v>137</v>
      </c>
      <c r="B8" s="95">
        <f>'Cooling Tower'!B21</f>
        <v>127860</v>
      </c>
      <c r="C8" s="73" t="s">
        <v>274</v>
      </c>
    </row>
    <row r="9" spans="1:3" ht="12.75">
      <c r="A9" s="71" t="s">
        <v>138</v>
      </c>
      <c r="B9" s="111">
        <f>(B7*3.785*1000*B8*60)/(10^9*453.59)</f>
        <v>0.14723674199166645</v>
      </c>
      <c r="C9" s="204" t="s">
        <v>279</v>
      </c>
    </row>
    <row r="10" spans="1:3" ht="12.75">
      <c r="A10" s="123" t="s">
        <v>369</v>
      </c>
      <c r="B10" s="205">
        <f>B9*8760/2000*B3</f>
        <v>0.644896929923499</v>
      </c>
      <c r="C10" s="206" t="s">
        <v>61</v>
      </c>
    </row>
    <row r="11" ht="12.75">
      <c r="B11" s="21"/>
    </row>
    <row r="12" ht="12.75">
      <c r="A12" s="1" t="s">
        <v>151</v>
      </c>
    </row>
    <row r="13" ht="12.75">
      <c r="A13" s="1"/>
    </row>
    <row r="14" spans="1:5" ht="12.75">
      <c r="A14" s="32"/>
      <c r="B14" s="32"/>
      <c r="C14" s="32"/>
      <c r="D14" s="32"/>
      <c r="E14" s="32"/>
    </row>
    <row r="15" spans="1:5" ht="12.75">
      <c r="A15" s="101" t="s">
        <v>227</v>
      </c>
      <c r="B15" s="274">
        <f>'Cooling Tower'!$B$31</f>
        <v>0.6393000000000001</v>
      </c>
      <c r="C15" s="101" t="s">
        <v>274</v>
      </c>
      <c r="D15" s="32"/>
      <c r="E15" s="32"/>
    </row>
    <row r="16" spans="1:2" ht="12.75">
      <c r="A16" s="12"/>
      <c r="B16" s="14"/>
    </row>
    <row r="17" spans="2:5" ht="14.25">
      <c r="B17" s="663" t="s">
        <v>632</v>
      </c>
      <c r="C17" s="663"/>
      <c r="D17" s="663" t="s">
        <v>253</v>
      </c>
      <c r="E17" s="663"/>
    </row>
    <row r="18" spans="1:5" ht="12.75">
      <c r="A18" s="1"/>
      <c r="B18" s="58" t="s">
        <v>285</v>
      </c>
      <c r="C18" s="58" t="s">
        <v>174</v>
      </c>
      <c r="D18" s="58" t="s">
        <v>279</v>
      </c>
      <c r="E18" s="58" t="s">
        <v>61</v>
      </c>
    </row>
    <row r="19" spans="1:5" ht="12.75">
      <c r="A19" s="71" t="s">
        <v>175</v>
      </c>
      <c r="B19" s="71">
        <v>36</v>
      </c>
      <c r="C19" s="100">
        <f>B19*3.785/(1000000*453.59)</f>
        <v>3.0040344804779646E-07</v>
      </c>
      <c r="D19" s="100">
        <f>C19*$B$15*60</f>
        <v>1.1522875460217379E-05</v>
      </c>
      <c r="E19" s="100">
        <f>D19*8760/2000</f>
        <v>5.047019451575212E-05</v>
      </c>
    </row>
    <row r="20" spans="1:5" ht="12.75">
      <c r="A20" s="71" t="s">
        <v>117</v>
      </c>
      <c r="B20" s="71">
        <v>54</v>
      </c>
      <c r="C20" s="100">
        <f aca="true" t="shared" si="0" ref="C20:C27">B20*3.785/(1000000*453.59)</f>
        <v>4.506051720716947E-07</v>
      </c>
      <c r="D20" s="100">
        <f>C20*$B$15*60</f>
        <v>1.728431319032607E-05</v>
      </c>
      <c r="E20" s="100">
        <f aca="true" t="shared" si="1" ref="E20:E27">D20*8760/2000</f>
        <v>7.570529177362819E-05</v>
      </c>
    </row>
    <row r="21" spans="1:5" ht="12.75">
      <c r="A21" s="71" t="s">
        <v>176</v>
      </c>
      <c r="B21" s="71">
        <v>9</v>
      </c>
      <c r="C21" s="100">
        <f t="shared" si="0"/>
        <v>7.510086201194911E-08</v>
      </c>
      <c r="D21" s="100">
        <f aca="true" t="shared" si="2" ref="D21:D27">C21*$B$15*60</f>
        <v>2.8807188650543447E-06</v>
      </c>
      <c r="E21" s="100">
        <f t="shared" si="1"/>
        <v>1.261754862893803E-05</v>
      </c>
    </row>
    <row r="22" spans="1:5" ht="12.75">
      <c r="A22" s="71" t="s">
        <v>4</v>
      </c>
      <c r="B22" s="71">
        <v>36</v>
      </c>
      <c r="C22" s="100">
        <f t="shared" si="0"/>
        <v>3.0040344804779646E-07</v>
      </c>
      <c r="D22" s="100">
        <f t="shared" si="2"/>
        <v>1.1522875460217379E-05</v>
      </c>
      <c r="E22" s="100">
        <f t="shared" si="1"/>
        <v>5.047019451575212E-05</v>
      </c>
    </row>
    <row r="23" spans="1:5" ht="12.75">
      <c r="A23" s="71" t="s">
        <v>5</v>
      </c>
      <c r="B23" s="71">
        <v>90</v>
      </c>
      <c r="C23" s="100">
        <f t="shared" si="0"/>
        <v>7.510086201194913E-07</v>
      </c>
      <c r="D23" s="100">
        <f t="shared" si="2"/>
        <v>2.880718865054345E-05</v>
      </c>
      <c r="E23" s="100">
        <f t="shared" si="1"/>
        <v>0.0001261754862893803</v>
      </c>
    </row>
    <row r="24" spans="1:5" ht="12.75">
      <c r="A24" s="71" t="s">
        <v>28</v>
      </c>
      <c r="B24" s="71">
        <v>36</v>
      </c>
      <c r="C24" s="100">
        <f t="shared" si="0"/>
        <v>3.0040344804779646E-07</v>
      </c>
      <c r="D24" s="100">
        <f t="shared" si="2"/>
        <v>1.1522875460217379E-05</v>
      </c>
      <c r="E24" s="100">
        <f t="shared" si="1"/>
        <v>5.047019451575212E-05</v>
      </c>
    </row>
    <row r="25" spans="1:5" ht="12.75">
      <c r="A25" s="71" t="s">
        <v>95</v>
      </c>
      <c r="B25" s="71">
        <v>4</v>
      </c>
      <c r="C25" s="100">
        <f t="shared" si="0"/>
        <v>3.337816089419961E-08</v>
      </c>
      <c r="D25" s="100">
        <f t="shared" si="2"/>
        <v>1.2803194955797086E-06</v>
      </c>
      <c r="E25" s="100">
        <f t="shared" si="1"/>
        <v>5.607799390639123E-06</v>
      </c>
    </row>
    <row r="26" spans="1:5" ht="12.75">
      <c r="A26" s="71" t="s">
        <v>8</v>
      </c>
      <c r="B26" s="71">
        <v>90</v>
      </c>
      <c r="C26" s="100">
        <f t="shared" si="0"/>
        <v>7.510086201194913E-07</v>
      </c>
      <c r="D26" s="100">
        <f t="shared" si="2"/>
        <v>2.880718865054345E-05</v>
      </c>
      <c r="E26" s="100">
        <f t="shared" si="1"/>
        <v>0.0001261754862893803</v>
      </c>
    </row>
    <row r="27" spans="1:5" ht="12.75">
      <c r="A27" s="71" t="s">
        <v>177</v>
      </c>
      <c r="B27" s="71">
        <v>36</v>
      </c>
      <c r="C27" s="100">
        <f t="shared" si="0"/>
        <v>3.0040344804779646E-07</v>
      </c>
      <c r="D27" s="100">
        <f t="shared" si="2"/>
        <v>1.1522875460217379E-05</v>
      </c>
      <c r="E27" s="100">
        <f t="shared" si="1"/>
        <v>5.047019451575212E-05</v>
      </c>
    </row>
    <row r="28" ht="14.25">
      <c r="A28" s="596" t="s">
        <v>633</v>
      </c>
    </row>
    <row r="34" spans="1:2" ht="12.75">
      <c r="A34" s="12"/>
      <c r="B34" s="14"/>
    </row>
    <row r="35" spans="1:2" ht="12.75">
      <c r="A35" s="12"/>
      <c r="B35" s="14"/>
    </row>
    <row r="36" spans="1:2" ht="12.75">
      <c r="A36" s="12"/>
      <c r="B36" s="14"/>
    </row>
    <row r="37" spans="1:2" ht="12.75">
      <c r="A37" s="12"/>
      <c r="B37" s="14"/>
    </row>
    <row r="38" spans="1:2" ht="12.75">
      <c r="A38" s="12"/>
      <c r="B38" s="14"/>
    </row>
    <row r="39" spans="1:2" ht="12.75">
      <c r="A39" s="12"/>
      <c r="B39" s="14"/>
    </row>
  </sheetData>
  <sheetProtection/>
  <mergeCells count="3">
    <mergeCell ref="B17:C17"/>
    <mergeCell ref="D17:E17"/>
    <mergeCell ref="A1:E1"/>
  </mergeCells>
  <printOptions horizontalCentered="1"/>
  <pageMargins left="0.75" right="0.75" top="1" bottom="1" header="0.5" footer="0.5"/>
  <pageSetup fitToHeight="1" fitToWidth="1" horizontalDpi="300" verticalDpi="300" orientation="landscape" scale="61" r:id="rId2"/>
  <headerFooter alignWithMargins="0">
    <oddFooter>&amp;L&amp;D
&amp;C&amp;P of &amp;N&amp;R&amp;A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zoomScale="90" zoomScaleNormal="90" zoomScalePageLayoutView="0" workbookViewId="0" topLeftCell="A1">
      <selection activeCell="I5" sqref="I5"/>
    </sheetView>
  </sheetViews>
  <sheetFormatPr defaultColWidth="11.421875" defaultRowHeight="12.75"/>
  <cols>
    <col min="1" max="1" width="71.421875" style="4" customWidth="1"/>
    <col min="2" max="2" width="11.421875" style="4" customWidth="1"/>
    <col min="3" max="3" width="15.00390625" style="4" customWidth="1"/>
    <col min="4" max="4" width="24.140625" style="4" customWidth="1"/>
    <col min="5" max="5" width="15.140625" style="4" customWidth="1"/>
    <col min="6" max="6" width="11.421875" style="4" customWidth="1"/>
    <col min="7" max="7" width="44.28125" style="4" customWidth="1"/>
    <col min="8" max="9" width="13.7109375" style="4" customWidth="1"/>
    <col min="10" max="16384" width="11.421875" style="4" customWidth="1"/>
  </cols>
  <sheetData>
    <row r="1" spans="1:6" ht="15.75">
      <c r="A1" s="660" t="s">
        <v>543</v>
      </c>
      <c r="B1" s="660"/>
      <c r="C1" s="660"/>
      <c r="D1" s="660"/>
      <c r="E1" s="660"/>
      <c r="F1" s="660"/>
    </row>
    <row r="3" spans="1:13" ht="73.5" customHeight="1">
      <c r="A3" s="39" t="s">
        <v>41</v>
      </c>
      <c r="B3" s="39" t="s">
        <v>42</v>
      </c>
      <c r="C3" s="39" t="s">
        <v>43</v>
      </c>
      <c r="D3" s="39" t="s">
        <v>44</v>
      </c>
      <c r="E3" s="39" t="s">
        <v>260</v>
      </c>
      <c r="F3" s="39" t="s">
        <v>44</v>
      </c>
      <c r="H3" s="3"/>
      <c r="I3" s="3"/>
      <c r="J3" s="3"/>
      <c r="K3" s="3"/>
      <c r="L3" s="3"/>
      <c r="M3" s="3"/>
    </row>
    <row r="4" spans="1:13" ht="12.75">
      <c r="A4" s="647" t="s">
        <v>554</v>
      </c>
      <c r="B4" s="649">
        <v>2</v>
      </c>
      <c r="C4" s="478">
        <v>3469.12</v>
      </c>
      <c r="D4" s="40" t="s">
        <v>607</v>
      </c>
      <c r="E4" s="39"/>
      <c r="F4" s="519"/>
      <c r="H4" s="3"/>
      <c r="I4" s="3"/>
      <c r="J4" s="3"/>
      <c r="K4" s="3"/>
      <c r="L4" s="3"/>
      <c r="M4" s="3"/>
    </row>
    <row r="5" spans="1:7" ht="12.75">
      <c r="A5" s="647"/>
      <c r="B5" s="650"/>
      <c r="C5" s="532">
        <f>C4/2</f>
        <v>1734.56</v>
      </c>
      <c r="D5" s="40" t="s">
        <v>608</v>
      </c>
      <c r="E5" s="44">
        <v>0.95</v>
      </c>
      <c r="G5" s="4" t="s">
        <v>555</v>
      </c>
    </row>
    <row r="6" spans="1:7" ht="12.75">
      <c r="A6" s="40" t="s">
        <v>235</v>
      </c>
      <c r="B6" s="41">
        <v>2</v>
      </c>
      <c r="C6" s="40">
        <v>420</v>
      </c>
      <c r="D6" s="47" t="s">
        <v>182</v>
      </c>
      <c r="E6" s="45">
        <v>4224</v>
      </c>
      <c r="F6" s="47" t="s">
        <v>278</v>
      </c>
      <c r="G6" s="226"/>
    </row>
    <row r="7" spans="1:7" ht="12.75">
      <c r="A7" s="40" t="s">
        <v>183</v>
      </c>
      <c r="B7" s="41">
        <v>1</v>
      </c>
      <c r="C7" s="40">
        <v>50</v>
      </c>
      <c r="D7" s="40" t="s">
        <v>102</v>
      </c>
      <c r="E7" s="46">
        <v>450</v>
      </c>
      <c r="F7" s="40" t="s">
        <v>278</v>
      </c>
      <c r="G7" s="226"/>
    </row>
    <row r="8" spans="1:7" ht="12.75" customHeight="1">
      <c r="A8" s="40" t="s">
        <v>184</v>
      </c>
      <c r="B8" s="41">
        <v>1</v>
      </c>
      <c r="C8" s="40">
        <v>260</v>
      </c>
      <c r="D8" s="40" t="s">
        <v>185</v>
      </c>
      <c r="E8" s="46">
        <v>100</v>
      </c>
      <c r="F8" s="40" t="s">
        <v>278</v>
      </c>
      <c r="G8" s="473" t="s">
        <v>557</v>
      </c>
    </row>
    <row r="9" spans="1:5" ht="12.75">
      <c r="A9" s="647" t="s">
        <v>186</v>
      </c>
      <c r="B9" s="649">
        <v>1</v>
      </c>
      <c r="C9" s="40">
        <v>9</v>
      </c>
      <c r="D9" s="40" t="s">
        <v>225</v>
      </c>
      <c r="E9" s="651">
        <v>1</v>
      </c>
    </row>
    <row r="10" spans="1:11" ht="12.75">
      <c r="A10" s="647"/>
      <c r="B10" s="650"/>
      <c r="C10" s="43">
        <v>127860</v>
      </c>
      <c r="D10" s="40" t="s">
        <v>124</v>
      </c>
      <c r="E10" s="653"/>
      <c r="G10" s="15"/>
      <c r="H10" s="15"/>
      <c r="I10" s="15"/>
      <c r="J10" s="15"/>
      <c r="K10" s="15"/>
    </row>
    <row r="11" spans="1:11" ht="25.5">
      <c r="A11" s="40" t="s">
        <v>326</v>
      </c>
      <c r="B11" s="654">
        <v>1</v>
      </c>
      <c r="C11" s="43">
        <v>127</v>
      </c>
      <c r="D11" s="40" t="s">
        <v>609</v>
      </c>
      <c r="E11" s="651">
        <v>1</v>
      </c>
      <c r="G11" s="15"/>
      <c r="H11" s="15"/>
      <c r="I11" s="15"/>
      <c r="J11" s="15"/>
      <c r="K11" s="15"/>
    </row>
    <row r="12" spans="1:11" ht="12.75">
      <c r="A12" s="516"/>
      <c r="B12" s="655"/>
      <c r="C12" s="43">
        <v>4</v>
      </c>
      <c r="D12" s="40" t="s">
        <v>610</v>
      </c>
      <c r="E12" s="652"/>
      <c r="G12" s="15"/>
      <c r="H12" s="15"/>
      <c r="I12" s="15"/>
      <c r="J12" s="15"/>
      <c r="K12" s="15"/>
    </row>
    <row r="13" spans="2:11" ht="12.75">
      <c r="B13" s="656"/>
      <c r="C13" s="43">
        <f>C11+C12</f>
        <v>131</v>
      </c>
      <c r="D13" s="40" t="s">
        <v>131</v>
      </c>
      <c r="E13" s="653"/>
      <c r="G13" s="518" t="s">
        <v>611</v>
      </c>
      <c r="H13" s="15"/>
      <c r="I13" s="15"/>
      <c r="J13" s="15"/>
      <c r="K13" s="15"/>
    </row>
    <row r="14" spans="1:11" ht="15.75">
      <c r="A14" s="40" t="s">
        <v>574</v>
      </c>
      <c r="B14" s="46">
        <v>5</v>
      </c>
      <c r="C14" s="49"/>
      <c r="D14" s="49"/>
      <c r="E14" s="50"/>
      <c r="G14" s="36"/>
      <c r="H14" s="36"/>
      <c r="I14" s="36"/>
      <c r="J14" s="15"/>
      <c r="K14" s="15"/>
    </row>
    <row r="15" ht="12.75">
      <c r="B15" s="9"/>
    </row>
    <row r="16" spans="1:9" ht="12.75">
      <c r="A16" s="647" t="s">
        <v>493</v>
      </c>
      <c r="B16" s="647"/>
      <c r="C16" s="647"/>
      <c r="D16" s="48">
        <v>0.7</v>
      </c>
      <c r="E16"/>
      <c r="F16"/>
      <c r="G16"/>
      <c r="H16"/>
      <c r="I16"/>
    </row>
    <row r="17" ht="12.75">
      <c r="B17" s="9"/>
    </row>
    <row r="18" ht="12.75">
      <c r="A18" s="30" t="s">
        <v>242</v>
      </c>
    </row>
    <row r="19" spans="1:5" ht="25.5" customHeight="1">
      <c r="A19" s="39" t="s">
        <v>247</v>
      </c>
      <c r="B19" s="661" t="s">
        <v>244</v>
      </c>
      <c r="C19" s="661"/>
      <c r="D19" s="648" t="s">
        <v>245</v>
      </c>
      <c r="E19" s="648"/>
    </row>
    <row r="20" spans="1:7" ht="12.75">
      <c r="A20" s="69" t="s">
        <v>243</v>
      </c>
      <c r="B20" s="227">
        <v>1034.6</v>
      </c>
      <c r="C20" s="47" t="s">
        <v>216</v>
      </c>
      <c r="D20" s="47">
        <v>0.75</v>
      </c>
      <c r="E20" s="40" t="s">
        <v>385</v>
      </c>
      <c r="F20" s="657" t="s">
        <v>556</v>
      </c>
      <c r="G20" s="658"/>
    </row>
    <row r="21" spans="1:7" ht="41.25" customHeight="1">
      <c r="A21" s="69" t="s">
        <v>246</v>
      </c>
      <c r="B21" s="110">
        <v>137000</v>
      </c>
      <c r="C21" s="101" t="s">
        <v>275</v>
      </c>
      <c r="D21" s="51">
        <v>15</v>
      </c>
      <c r="E21" s="40" t="s">
        <v>482</v>
      </c>
      <c r="F21" s="659" t="s">
        <v>558</v>
      </c>
      <c r="G21" s="659"/>
    </row>
    <row r="22" spans="3:4" ht="27" customHeight="1">
      <c r="C22" s="37"/>
      <c r="D22" s="35"/>
    </row>
    <row r="23" spans="1:3" ht="12.75">
      <c r="A23" s="15"/>
      <c r="C23" s="37"/>
    </row>
    <row r="24" ht="12.75">
      <c r="A24" s="15"/>
    </row>
    <row r="25" ht="12.75">
      <c r="A25" s="15"/>
    </row>
  </sheetData>
  <sheetProtection/>
  <mergeCells count="13">
    <mergeCell ref="F20:G20"/>
    <mergeCell ref="F21:G21"/>
    <mergeCell ref="A1:F1"/>
    <mergeCell ref="B9:B10"/>
    <mergeCell ref="E9:E10"/>
    <mergeCell ref="A9:A10"/>
    <mergeCell ref="B19:C19"/>
    <mergeCell ref="A16:C16"/>
    <mergeCell ref="D19:E19"/>
    <mergeCell ref="A4:A5"/>
    <mergeCell ref="B4:B5"/>
    <mergeCell ref="E11:E13"/>
    <mergeCell ref="B11:B13"/>
  </mergeCells>
  <printOptions horizontalCentered="1"/>
  <pageMargins left="0.75" right="0.75" top="1" bottom="1" header="0.5" footer="0.5"/>
  <pageSetup fitToHeight="0" fitToWidth="1" horizontalDpi="300" verticalDpi="300" orientation="landscape" scale="63" r:id="rId1"/>
  <headerFooter alignWithMargins="0">
    <oddFooter>&amp;L&amp;D
&amp;C&amp;P of &amp;N&amp;R&amp;A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C10"/>
  <sheetViews>
    <sheetView zoomScalePageLayoutView="0" workbookViewId="0" topLeftCell="A1">
      <selection activeCell="E13" sqref="E13"/>
    </sheetView>
  </sheetViews>
  <sheetFormatPr defaultColWidth="11.421875" defaultRowHeight="12.75"/>
  <cols>
    <col min="1" max="1" width="73.421875" style="97" customWidth="1"/>
    <col min="2" max="2" width="13.421875" style="97" bestFit="1" customWidth="1"/>
    <col min="3" max="16384" width="11.421875" style="97" customWidth="1"/>
  </cols>
  <sheetData>
    <row r="1" spans="1:3" ht="34.5" customHeight="1">
      <c r="A1" s="660" t="s">
        <v>364</v>
      </c>
      <c r="B1" s="671"/>
      <c r="C1" s="671"/>
    </row>
    <row r="2" spans="1:3" ht="12.75">
      <c r="A2" s="29"/>
      <c r="B2" s="12"/>
      <c r="C2" s="12"/>
    </row>
    <row r="3" spans="1:3" ht="12.75">
      <c r="A3" s="29"/>
      <c r="B3" s="12"/>
      <c r="C3" s="12"/>
    </row>
    <row r="4" spans="1:3" ht="12.75">
      <c r="A4" s="12" t="s">
        <v>152</v>
      </c>
      <c r="B4" s="12"/>
      <c r="C4" s="12"/>
    </row>
    <row r="5" spans="1:3" ht="39.75">
      <c r="A5" s="47" t="s">
        <v>317</v>
      </c>
      <c r="B5" s="55">
        <v>0.75</v>
      </c>
      <c r="C5" s="12"/>
    </row>
    <row r="6" spans="1:3" ht="12.75">
      <c r="A6" s="47" t="s">
        <v>147</v>
      </c>
      <c r="B6" s="55">
        <f>'Bowie Sources'!C13</f>
        <v>131</v>
      </c>
      <c r="C6" s="12"/>
    </row>
    <row r="7" spans="1:3" ht="12.75">
      <c r="A7" s="55" t="s">
        <v>138</v>
      </c>
      <c r="B7" s="129">
        <f>(B5*3.785*1000*B6*60)/(10^9*453.6)</f>
        <v>4.918998015873016E-05</v>
      </c>
      <c r="C7" s="12"/>
    </row>
    <row r="8" spans="1:3" ht="12.75">
      <c r="A8" s="47" t="s">
        <v>370</v>
      </c>
      <c r="B8" s="207">
        <f>B7*8760/2000</f>
        <v>0.0002154521130952381</v>
      </c>
      <c r="C8" s="12"/>
    </row>
    <row r="9" spans="1:2" ht="15.75">
      <c r="A9" s="208"/>
      <c r="B9" s="209"/>
    </row>
    <row r="10" ht="12.75">
      <c r="B10" s="79"/>
    </row>
  </sheetData>
  <sheetProtection/>
  <mergeCells count="1">
    <mergeCell ref="A1:C1"/>
  </mergeCells>
  <printOptions horizontalCentered="1"/>
  <pageMargins left="0.75" right="0.75" top="1" bottom="1" header="0.5" footer="0.5"/>
  <pageSetup fitToHeight="0" fitToWidth="1" horizontalDpi="300" verticalDpi="300" orientation="landscape" r:id="rId2"/>
  <headerFooter alignWithMargins="0">
    <oddFooter>&amp;L&amp;D
&amp;C&amp;P of &amp;N&amp;R&amp;A</oddFooter>
  </headerFooter>
  <drawing r:id="rId1"/>
</worksheet>
</file>

<file path=xl/worksheets/sheet21.xml><?xml version="1.0" encoding="utf-8"?>
<worksheet xmlns="http://schemas.openxmlformats.org/spreadsheetml/2006/main" xmlns:r="http://schemas.openxmlformats.org/officeDocument/2006/relationships">
  <dimension ref="A1:Q50"/>
  <sheetViews>
    <sheetView workbookViewId="0" topLeftCell="A1">
      <pane xSplit="1" topLeftCell="B1" activePane="topRight" state="frozen"/>
      <selection pane="topLeft" activeCell="A1" sqref="A1"/>
      <selection pane="topRight" activeCell="A23" sqref="A23"/>
    </sheetView>
  </sheetViews>
  <sheetFormatPr defaultColWidth="11.421875" defaultRowHeight="12.75"/>
  <cols>
    <col min="1" max="1" width="40.421875" style="15" customWidth="1"/>
    <col min="2" max="2" width="15.57421875" style="15" customWidth="1"/>
    <col min="3" max="3" width="13.421875" style="15" customWidth="1"/>
    <col min="4" max="4" width="14.57421875" style="15" customWidth="1"/>
    <col min="5" max="5" width="15.57421875" style="15" customWidth="1"/>
    <col min="6" max="6" width="14.7109375" style="15" customWidth="1"/>
    <col min="7" max="7" width="11.28125" style="15" customWidth="1"/>
    <col min="8" max="8" width="14.00390625" style="15" customWidth="1"/>
    <col min="9" max="12" width="13.7109375" style="15" customWidth="1"/>
    <col min="13" max="13" width="12.7109375" style="15" bestFit="1" customWidth="1"/>
    <col min="14" max="16" width="11.421875" style="15" customWidth="1"/>
    <col min="17" max="17" width="21.140625" style="15" customWidth="1"/>
    <col min="18" max="16384" width="11.421875" style="15" customWidth="1"/>
  </cols>
  <sheetData>
    <row r="1" spans="1:15" ht="36" customHeight="1">
      <c r="A1" s="660" t="s">
        <v>537</v>
      </c>
      <c r="B1" s="660"/>
      <c r="C1" s="660"/>
      <c r="D1" s="660"/>
      <c r="E1" s="660"/>
      <c r="F1" s="660"/>
      <c r="G1" s="660"/>
      <c r="H1" s="660"/>
      <c r="I1" s="660"/>
      <c r="J1" s="660"/>
      <c r="K1" s="660"/>
      <c r="L1" s="660"/>
      <c r="M1" s="660"/>
      <c r="N1" s="660"/>
      <c r="O1" s="660"/>
    </row>
    <row r="2" spans="1:15" ht="9.75" customHeight="1">
      <c r="A2" s="126"/>
      <c r="B2" s="126"/>
      <c r="C2" s="126"/>
      <c r="D2" s="126"/>
      <c r="E2" s="126"/>
      <c r="F2" s="126"/>
      <c r="G2" s="126"/>
      <c r="H2" s="126"/>
      <c r="I2" s="126"/>
      <c r="J2" s="126"/>
      <c r="K2" s="126"/>
      <c r="L2" s="126"/>
      <c r="M2" s="126"/>
      <c r="N2" s="126"/>
      <c r="O2" s="126"/>
    </row>
    <row r="3" spans="1:3" ht="12.75">
      <c r="A3" s="47" t="s">
        <v>75</v>
      </c>
      <c r="B3" s="47">
        <f>'Bowie Sources'!B4</f>
        <v>2</v>
      </c>
      <c r="C3"/>
    </row>
    <row r="4" spans="1:3" ht="12.75">
      <c r="A4" s="47" t="s">
        <v>32</v>
      </c>
      <c r="B4" s="47">
        <f>'Bowie Sources'!B7</f>
        <v>1</v>
      </c>
      <c r="C4"/>
    </row>
    <row r="5" spans="1:3" ht="12.75">
      <c r="A5" s="47" t="s">
        <v>33</v>
      </c>
      <c r="B5" s="47">
        <f>'Bowie Sources'!B8</f>
        <v>1</v>
      </c>
      <c r="C5"/>
    </row>
    <row r="6" spans="1:3" ht="12.75">
      <c r="A6" s="437" t="s">
        <v>504</v>
      </c>
      <c r="B6" s="47">
        <f>'Bowie Sources'!B14</f>
        <v>5</v>
      </c>
      <c r="C6"/>
    </row>
    <row r="8" spans="1:2" ht="27">
      <c r="A8" s="253"/>
      <c r="B8" s="449" t="s">
        <v>512</v>
      </c>
    </row>
    <row r="9" spans="1:2" ht="12.75">
      <c r="A9" s="437" t="s">
        <v>513</v>
      </c>
      <c r="B9" s="300">
        <v>360</v>
      </c>
    </row>
    <row r="10" spans="1:5" ht="12.75">
      <c r="A10" s="253"/>
      <c r="B10" s="253"/>
      <c r="C10" s="253"/>
      <c r="D10" s="253"/>
      <c r="E10" s="448"/>
    </row>
    <row r="11" spans="1:5" ht="14.25">
      <c r="A11" s="465" t="s">
        <v>533</v>
      </c>
      <c r="B11" s="253"/>
      <c r="C11" s="253"/>
      <c r="D11" s="253"/>
      <c r="E11" s="448"/>
    </row>
    <row r="12" spans="1:5" ht="38.25">
      <c r="A12" s="437" t="s">
        <v>532</v>
      </c>
      <c r="B12" s="455" t="s">
        <v>503</v>
      </c>
      <c r="C12"/>
      <c r="D12" s="18"/>
      <c r="E12" s="433"/>
    </row>
    <row r="13" spans="1:2" ht="12.75">
      <c r="A13" s="456" t="s">
        <v>534</v>
      </c>
      <c r="B13" s="481">
        <f>'Turbine and DB Heat Input'!C14</f>
        <v>1615.87</v>
      </c>
    </row>
    <row r="14" spans="1:2" ht="12.75">
      <c r="A14" s="451" t="s">
        <v>569</v>
      </c>
      <c r="B14" s="481">
        <f>'Turbine and DB Heat Input'!C16</f>
        <v>1020.8</v>
      </c>
    </row>
    <row r="15" spans="1:2" ht="12.75">
      <c r="A15" s="457"/>
      <c r="B15" s="435"/>
    </row>
    <row r="16" spans="1:4" ht="12.75">
      <c r="A16" s="451" t="s">
        <v>535</v>
      </c>
      <c r="B16" s="434">
        <f>'Bowie Sources'!C6</f>
        <v>420</v>
      </c>
      <c r="C16" s="695" t="s">
        <v>536</v>
      </c>
      <c r="D16" s="695"/>
    </row>
    <row r="18" spans="1:12" ht="27.75" customHeight="1">
      <c r="A18" s="661" t="s">
        <v>291</v>
      </c>
      <c r="B18" s="737" t="s">
        <v>529</v>
      </c>
      <c r="C18" s="737" t="s">
        <v>530</v>
      </c>
      <c r="D18" s="737" t="s">
        <v>528</v>
      </c>
      <c r="E18" s="741" t="s">
        <v>324</v>
      </c>
      <c r="F18" s="742"/>
      <c r="G18" s="742"/>
      <c r="H18" s="743"/>
      <c r="I18" s="741" t="s">
        <v>329</v>
      </c>
      <c r="J18" s="742"/>
      <c r="K18" s="742"/>
      <c r="L18" s="743"/>
    </row>
    <row r="19" spans="1:12" s="30" customFormat="1" ht="28.5">
      <c r="A19" s="661"/>
      <c r="B19" s="738"/>
      <c r="C19" s="738"/>
      <c r="D19" s="738"/>
      <c r="E19" s="221" t="s">
        <v>363</v>
      </c>
      <c r="F19" s="221" t="s">
        <v>508</v>
      </c>
      <c r="G19" s="221" t="s">
        <v>509</v>
      </c>
      <c r="H19" s="221" t="s">
        <v>519</v>
      </c>
      <c r="I19" s="221" t="s">
        <v>325</v>
      </c>
      <c r="J19" s="221" t="s">
        <v>327</v>
      </c>
      <c r="K19" s="221" t="s">
        <v>328</v>
      </c>
      <c r="L19" s="221" t="s">
        <v>507</v>
      </c>
    </row>
    <row r="20" spans="1:12" ht="12.75">
      <c r="A20" s="437" t="s">
        <v>525</v>
      </c>
      <c r="B20" s="463">
        <f>B14</f>
        <v>1020.8</v>
      </c>
      <c r="C20" s="462">
        <f>'Turbine and Duct Burner Annual'!H7</f>
        <v>325</v>
      </c>
      <c r="D20" s="458">
        <f>B20*C20</f>
        <v>331760</v>
      </c>
      <c r="E20" s="744">
        <v>53.02</v>
      </c>
      <c r="F20" s="747">
        <v>0.001</v>
      </c>
      <c r="G20" s="750">
        <v>0.0001</v>
      </c>
      <c r="H20" s="440"/>
      <c r="I20" s="224">
        <f>$E$20*D20*2.205/2000</f>
        <v>19392.881508000002</v>
      </c>
      <c r="J20" s="224">
        <f>$F$20*D20*2.205/2000</f>
        <v>0.3657654</v>
      </c>
      <c r="K20" s="224">
        <f>$G$20*D20*2.205/2000</f>
        <v>0.036576540000000005</v>
      </c>
      <c r="L20" s="441"/>
    </row>
    <row r="21" spans="1:12" ht="12.75">
      <c r="A21" s="437" t="s">
        <v>524</v>
      </c>
      <c r="B21" s="463">
        <f>B13+B16</f>
        <v>2035.87</v>
      </c>
      <c r="C21" s="453">
        <f>'Turbine and Duct Burner Annual'!H3</f>
        <v>4224</v>
      </c>
      <c r="D21" s="458">
        <f>B21*C21</f>
        <v>8599514.879999999</v>
      </c>
      <c r="E21" s="745"/>
      <c r="F21" s="748"/>
      <c r="G21" s="751"/>
      <c r="H21" s="440"/>
      <c r="I21" s="224">
        <f>$E$20*D21*2.205/2000</f>
        <v>502680.77252870396</v>
      </c>
      <c r="J21" s="224">
        <f>$F$20*D21*2.205/2000</f>
        <v>9.4809651552</v>
      </c>
      <c r="K21" s="224">
        <f>$G$20*D21*2.205/2000</f>
        <v>0.94809651552</v>
      </c>
      <c r="L21" s="441"/>
    </row>
    <row r="22" spans="1:12" ht="25.5">
      <c r="A22" s="437" t="s">
        <v>531</v>
      </c>
      <c r="B22" s="463">
        <f>B13</f>
        <v>1615.87</v>
      </c>
      <c r="C22" s="462">
        <f>'Turbine and Duct Burner Annual'!H6</f>
        <v>3681.75</v>
      </c>
      <c r="D22" s="458">
        <f>B22*C22</f>
        <v>5949229.3725</v>
      </c>
      <c r="E22" s="745"/>
      <c r="F22" s="748"/>
      <c r="G22" s="751"/>
      <c r="H22" s="440"/>
      <c r="I22" s="224">
        <f>$E$20*D22*2.205/2000</f>
        <v>347759.52581626986</v>
      </c>
      <c r="J22" s="224">
        <f>$F$20*D22*2.205/2000</f>
        <v>6.5590253831812495</v>
      </c>
      <c r="K22" s="224">
        <f>$G$20*D22*2.205/2000</f>
        <v>0.6559025383181251</v>
      </c>
      <c r="L22" s="441"/>
    </row>
    <row r="23" spans="1:12" ht="12.75">
      <c r="A23" s="437" t="s">
        <v>526</v>
      </c>
      <c r="B23" s="463">
        <f>B14</f>
        <v>1020.8</v>
      </c>
      <c r="C23" s="462">
        <f>'Turbine and Duct Burner Annual'!H4</f>
        <v>91.25</v>
      </c>
      <c r="D23" s="458">
        <f>B23*C23</f>
        <v>93148</v>
      </c>
      <c r="E23" s="746"/>
      <c r="F23" s="749"/>
      <c r="G23" s="752"/>
      <c r="H23" s="440"/>
      <c r="I23" s="224">
        <f>$E$20*D23*2.205/2000</f>
        <v>5444.9244234</v>
      </c>
      <c r="J23" s="224">
        <f>$F$20*D23*2.205/2000</f>
        <v>0.10269566999999999</v>
      </c>
      <c r="K23" s="224">
        <f>$G$20*D23*2.205/2000</f>
        <v>0.010269567</v>
      </c>
      <c r="L23" s="441"/>
    </row>
    <row r="24" spans="1:12" ht="25.5">
      <c r="A24" s="437" t="s">
        <v>527</v>
      </c>
      <c r="B24" s="452"/>
      <c r="C24" s="452"/>
      <c r="D24" s="452"/>
      <c r="E24" s="438"/>
      <c r="F24" s="439"/>
      <c r="G24" s="440"/>
      <c r="H24" s="440"/>
      <c r="I24" s="224">
        <f>E44</f>
        <v>264.14793035714285</v>
      </c>
      <c r="J24" s="441"/>
      <c r="K24" s="441"/>
      <c r="L24" s="441"/>
    </row>
    <row r="25" spans="1:12" ht="12.75">
      <c r="A25" s="437" t="s">
        <v>506</v>
      </c>
      <c r="B25" s="452"/>
      <c r="C25" s="452"/>
      <c r="D25" s="452"/>
      <c r="E25" s="438"/>
      <c r="F25" s="439"/>
      <c r="G25" s="440"/>
      <c r="H25" s="440"/>
      <c r="I25" s="224">
        <f>SUM(I20:I24)</f>
        <v>875542.252206731</v>
      </c>
      <c r="J25" s="224">
        <f>SUM(J20:J24)</f>
        <v>16.50845160838125</v>
      </c>
      <c r="K25" s="224">
        <f>SUM(K20:K24)</f>
        <v>1.650845160838125</v>
      </c>
      <c r="L25" s="441"/>
    </row>
    <row r="26" spans="1:12" ht="12.75">
      <c r="A26" s="437" t="s">
        <v>344</v>
      </c>
      <c r="B26" s="459">
        <f>'Aux Boiler Emissions'!B16</f>
        <v>50</v>
      </c>
      <c r="C26" s="460">
        <f>'Aux Boiler Emissions'!B17</f>
        <v>450</v>
      </c>
      <c r="D26" s="223">
        <f>B26*C26</f>
        <v>22500</v>
      </c>
      <c r="E26" s="222">
        <v>53.02</v>
      </c>
      <c r="F26" s="248">
        <f>F20</f>
        <v>0.001</v>
      </c>
      <c r="G26" s="248">
        <f>G20</f>
        <v>0.0001</v>
      </c>
      <c r="H26" s="440"/>
      <c r="I26" s="224">
        <f>E26*$D$26*2.205/2000</f>
        <v>1315.227375</v>
      </c>
      <c r="J26" s="224">
        <f>F26*$D$26*2.205/2000</f>
        <v>0.024806250000000002</v>
      </c>
      <c r="K26" s="225">
        <f>G26*$D$26*2.205/2000</f>
        <v>0.0024806249999999998</v>
      </c>
      <c r="L26" s="444"/>
    </row>
    <row r="27" spans="1:12" ht="12.75">
      <c r="A27" s="437" t="s">
        <v>297</v>
      </c>
      <c r="B27" s="461">
        <f>'Emergency Fire Pump Emissions'!B23</f>
        <v>1.8358</v>
      </c>
      <c r="C27" s="460">
        <f>'Emergency Fire Pump Emissions'!B20</f>
        <v>100</v>
      </c>
      <c r="D27" s="300">
        <f>B27*C27</f>
        <v>183.58</v>
      </c>
      <c r="E27" s="222">
        <v>73.96</v>
      </c>
      <c r="F27" s="248">
        <v>0.003</v>
      </c>
      <c r="G27" s="248">
        <v>0.0006</v>
      </c>
      <c r="H27" s="440"/>
      <c r="I27" s="121">
        <f>E27*$D$27*2.205/2000</f>
        <v>14.969278421999999</v>
      </c>
      <c r="J27" s="640">
        <f>F27*$D$27*2.205/2000</f>
        <v>0.00060719085</v>
      </c>
      <c r="K27" s="640">
        <f>G27*$D$27*2.205/2000</f>
        <v>0.00012143817</v>
      </c>
      <c r="L27" s="445"/>
    </row>
    <row r="28" spans="1:12" ht="12.75">
      <c r="A28" s="437" t="s">
        <v>505</v>
      </c>
      <c r="B28" s="452"/>
      <c r="C28" s="452"/>
      <c r="D28" s="452"/>
      <c r="E28" s="438"/>
      <c r="F28" s="447"/>
      <c r="G28" s="440"/>
      <c r="H28" s="450">
        <v>0.001</v>
      </c>
      <c r="I28" s="441"/>
      <c r="J28" s="444"/>
      <c r="K28" s="445"/>
      <c r="L28" s="640">
        <f>B9*H28/2000</f>
        <v>0.00017999999999999998</v>
      </c>
    </row>
    <row r="29" spans="1:15" ht="16.5" customHeight="1">
      <c r="A29" s="689" t="s">
        <v>523</v>
      </c>
      <c r="B29" s="689"/>
      <c r="C29" s="689"/>
      <c r="D29" s="689"/>
      <c r="E29" s="689"/>
      <c r="F29" s="689"/>
      <c r="G29" s="689"/>
      <c r="H29" s="689"/>
      <c r="I29" s="689"/>
      <c r="J29" s="689"/>
      <c r="K29" s="689"/>
      <c r="L29" s="689"/>
      <c r="M29" s="253"/>
      <c r="N29" s="253"/>
      <c r="O29" s="253"/>
    </row>
    <row r="30" spans="1:15" ht="17.25" customHeight="1">
      <c r="A30" s="689" t="s">
        <v>510</v>
      </c>
      <c r="B30" s="689"/>
      <c r="C30" s="689"/>
      <c r="D30" s="689"/>
      <c r="E30" s="689"/>
      <c r="F30" s="689"/>
      <c r="G30" s="689"/>
      <c r="H30" s="689"/>
      <c r="I30" s="689"/>
      <c r="J30" s="689"/>
      <c r="K30" s="689"/>
      <c r="L30" s="689"/>
      <c r="M30" s="253"/>
      <c r="N30" s="253"/>
      <c r="O30" s="253"/>
    </row>
    <row r="31" spans="1:17" ht="27" customHeight="1">
      <c r="A31" s="689" t="s">
        <v>522</v>
      </c>
      <c r="B31" s="689"/>
      <c r="C31" s="689"/>
      <c r="D31" s="689"/>
      <c r="E31" s="689"/>
      <c r="F31" s="689"/>
      <c r="G31" s="689"/>
      <c r="H31" s="689"/>
      <c r="I31" s="689"/>
      <c r="J31" s="689"/>
      <c r="K31" s="689"/>
      <c r="L31" s="689"/>
      <c r="M31" s="454"/>
      <c r="N31" s="454"/>
      <c r="O31" s="454"/>
      <c r="P31" s="454"/>
      <c r="Q31" s="454"/>
    </row>
    <row r="32" spans="1:17" ht="12.75">
      <c r="A32" s="464"/>
      <c r="B32" s="464"/>
      <c r="C32" s="464"/>
      <c r="D32" s="464"/>
      <c r="E32" s="464"/>
      <c r="F32" s="464"/>
      <c r="G32" s="464"/>
      <c r="H32" s="464"/>
      <c r="I32" s="464"/>
      <c r="J32" s="464"/>
      <c r="K32" s="464"/>
      <c r="L32" s="464"/>
      <c r="M32" s="454"/>
      <c r="N32" s="454"/>
      <c r="O32" s="454"/>
      <c r="P32" s="454"/>
      <c r="Q32" s="454"/>
    </row>
    <row r="33" spans="1:3" ht="49.5" customHeight="1">
      <c r="A33" s="661" t="s">
        <v>291</v>
      </c>
      <c r="B33" s="737" t="s">
        <v>573</v>
      </c>
      <c r="C33" s="737" t="s">
        <v>511</v>
      </c>
    </row>
    <row r="34" spans="1:3" ht="12.75">
      <c r="A34" s="661"/>
      <c r="B34" s="738"/>
      <c r="C34" s="738"/>
    </row>
    <row r="35" spans="1:3" ht="12.75">
      <c r="A35" s="437" t="s">
        <v>576</v>
      </c>
      <c r="B35" s="446">
        <f>(I25*$C$48)+(J25*$D$48)+(K25*$E$48)</f>
        <v>876400.6916903668</v>
      </c>
      <c r="C35" s="446">
        <f>B35*B3</f>
        <v>1752801.3833807337</v>
      </c>
    </row>
    <row r="36" spans="1:3" ht="12.75">
      <c r="A36" s="437" t="s">
        <v>344</v>
      </c>
      <c r="B36" s="446">
        <f>(I26*$C$48)+(J26*$D$48)+(K26*$E$48)</f>
        <v>1316.5173</v>
      </c>
      <c r="C36" s="446">
        <f>B36*B4</f>
        <v>1316.5173</v>
      </c>
    </row>
    <row r="37" spans="1:3" ht="12.75">
      <c r="A37" s="437" t="s">
        <v>297</v>
      </c>
      <c r="B37" s="446">
        <f>(I27*$C$48)+(J27*$D$48)+(K27*$E$48)</f>
        <v>15.019675262549999</v>
      </c>
      <c r="C37" s="446">
        <f>B37*B5</f>
        <v>15.019675262549999</v>
      </c>
    </row>
    <row r="38" spans="1:3" ht="12.75">
      <c r="A38" s="437" t="s">
        <v>505</v>
      </c>
      <c r="B38" s="234">
        <f>L28*F48</f>
        <v>4.302</v>
      </c>
      <c r="C38" s="446">
        <f>B38*B6</f>
        <v>21.509999999999998</v>
      </c>
    </row>
    <row r="39" spans="1:3" ht="12.75">
      <c r="A39" s="466" t="s">
        <v>107</v>
      </c>
      <c r="B39" s="446">
        <f>SUM(B35:B38)</f>
        <v>877736.5306656293</v>
      </c>
      <c r="C39" s="446">
        <f>SUM(C35:C38)</f>
        <v>1754154.4303559961</v>
      </c>
    </row>
    <row r="40" spans="1:6" ht="12.75">
      <c r="A40" s="467"/>
      <c r="B40" s="468"/>
      <c r="C40" s="468"/>
      <c r="D40" s="468"/>
      <c r="E40" s="469"/>
      <c r="F40" s="470"/>
    </row>
    <row r="41" ht="12.75">
      <c r="A41"/>
    </row>
    <row r="42" spans="1:9" ht="15.75" customHeight="1">
      <c r="A42" s="672" t="s">
        <v>496</v>
      </c>
      <c r="B42" s="672"/>
      <c r="C42" s="672"/>
      <c r="D42" s="672"/>
      <c r="E42" s="672"/>
      <c r="F42" s="672"/>
      <c r="G42" s="672"/>
      <c r="H42" s="672"/>
      <c r="I42" s="672"/>
    </row>
    <row r="43" spans="2:5" ht="78">
      <c r="B43" s="39" t="s">
        <v>515</v>
      </c>
      <c r="C43" s="39" t="s">
        <v>514</v>
      </c>
      <c r="D43" s="39" t="s">
        <v>516</v>
      </c>
      <c r="E43" s="39" t="s">
        <v>517</v>
      </c>
    </row>
    <row r="44" spans="1:5" ht="12.75">
      <c r="A44" s="245" t="s">
        <v>518</v>
      </c>
      <c r="B44" s="118">
        <f>'Turbine and Duct Burner Annual'!E29</f>
        <v>248.6361</v>
      </c>
      <c r="C44" s="118">
        <f>'Turbine and Duct Burner Annual'!E36</f>
        <v>80.5419625</v>
      </c>
      <c r="D44" s="118">
        <f>B44-C44</f>
        <v>168.0941375</v>
      </c>
      <c r="E44" s="118">
        <f>D44*44/28</f>
        <v>264.14793035714285</v>
      </c>
    </row>
    <row r="45" ht="12.75">
      <c r="A45"/>
    </row>
    <row r="46" spans="3:6" ht="12.75">
      <c r="C46"/>
      <c r="D46"/>
      <c r="E46"/>
      <c r="F46"/>
    </row>
    <row r="47" spans="3:6" ht="14.25">
      <c r="C47" s="442" t="s">
        <v>325</v>
      </c>
      <c r="D47" s="442" t="s">
        <v>327</v>
      </c>
      <c r="E47" s="442" t="s">
        <v>328</v>
      </c>
      <c r="F47" s="442" t="s">
        <v>507</v>
      </c>
    </row>
    <row r="48" spans="1:6" ht="12.75">
      <c r="A48" s="695" t="s">
        <v>520</v>
      </c>
      <c r="B48" s="696"/>
      <c r="C48" s="47">
        <v>1</v>
      </c>
      <c r="D48" s="47">
        <v>21</v>
      </c>
      <c r="E48" s="47">
        <v>310</v>
      </c>
      <c r="F48" s="443">
        <v>23900</v>
      </c>
    </row>
    <row r="49" spans="1:6" ht="21" customHeight="1">
      <c r="A49" s="739" t="s">
        <v>521</v>
      </c>
      <c r="B49" s="740"/>
      <c r="C49" s="740"/>
      <c r="D49" s="740"/>
      <c r="E49" s="740"/>
      <c r="F49" s="740"/>
    </row>
    <row r="50" ht="12.75">
      <c r="A50"/>
    </row>
    <row r="54" ht="12.75"/>
    <row r="55" ht="12.75"/>
    <row r="56" ht="12.75"/>
  </sheetData>
  <sheetProtection/>
  <mergeCells count="20">
    <mergeCell ref="A48:B48"/>
    <mergeCell ref="A33:A34"/>
    <mergeCell ref="A31:L31"/>
    <mergeCell ref="A30:L30"/>
    <mergeCell ref="A29:L29"/>
    <mergeCell ref="I18:L18"/>
    <mergeCell ref="D18:D19"/>
    <mergeCell ref="B18:B19"/>
    <mergeCell ref="C18:C19"/>
    <mergeCell ref="B33:B34"/>
    <mergeCell ref="C33:C34"/>
    <mergeCell ref="A49:F49"/>
    <mergeCell ref="A1:O1"/>
    <mergeCell ref="A18:A19"/>
    <mergeCell ref="A42:I42"/>
    <mergeCell ref="E18:H18"/>
    <mergeCell ref="C16:D16"/>
    <mergeCell ref="E20:E23"/>
    <mergeCell ref="F20:F23"/>
    <mergeCell ref="G20:G23"/>
  </mergeCells>
  <printOptions horizontalCentered="1"/>
  <pageMargins left="0.7" right="0.7" top="0.75" bottom="0.75" header="0.3" footer="0.3"/>
  <pageSetup fitToHeight="0" horizontalDpi="600" verticalDpi="600" orientation="landscape" scale="56" r:id="rId2"/>
  <headerFooter>
    <oddFooter>&amp;L&amp;D&amp;C&amp;P of &amp;N&amp;R&amp;A</oddFooter>
  </headerFooter>
  <rowBreaks count="1" manualBreakCount="1">
    <brk id="49" max="11" man="1"/>
  </row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L99"/>
  <sheetViews>
    <sheetView zoomScale="70" zoomScaleNormal="70" workbookViewId="0" topLeftCell="A1">
      <pane xSplit="4" ySplit="4" topLeftCell="E64" activePane="bottomRight" state="frozen"/>
      <selection pane="topLeft" activeCell="A1" sqref="A1"/>
      <selection pane="topRight" activeCell="E1" sqref="E1"/>
      <selection pane="bottomLeft" activeCell="A5" sqref="A5"/>
      <selection pane="bottomRight" activeCell="H70" sqref="H70"/>
    </sheetView>
  </sheetViews>
  <sheetFormatPr defaultColWidth="11.421875" defaultRowHeight="12.75"/>
  <cols>
    <col min="1" max="1" width="12.00390625" style="4" customWidth="1"/>
    <col min="2" max="2" width="12.7109375" style="4" customWidth="1"/>
    <col min="3" max="3" width="19.28125" style="4" customWidth="1"/>
    <col min="4" max="4" width="17.8515625" style="4" customWidth="1"/>
    <col min="5" max="5" width="14.140625" style="4" customWidth="1"/>
    <col min="6" max="6" width="15.28125" style="4" customWidth="1"/>
    <col min="7" max="7" width="11.28125" style="4" customWidth="1"/>
    <col min="8" max="8" width="16.57421875" style="4" customWidth="1"/>
    <col min="9" max="9" width="11.28125" style="4" customWidth="1"/>
    <col min="10" max="10" width="11.421875" style="4" customWidth="1"/>
    <col min="11" max="11" width="34.28125" style="4" customWidth="1"/>
    <col min="12" max="12" width="28.7109375" style="4" customWidth="1"/>
    <col min="13" max="16384" width="11.421875" style="4" customWidth="1"/>
  </cols>
  <sheetData>
    <row r="1" spans="1:12" ht="33" customHeight="1">
      <c r="A1" s="660" t="s">
        <v>320</v>
      </c>
      <c r="B1" s="660"/>
      <c r="C1" s="660"/>
      <c r="D1" s="660"/>
      <c r="E1" s="660"/>
      <c r="F1" s="660"/>
      <c r="G1" s="660"/>
      <c r="H1" s="660"/>
      <c r="I1" s="660"/>
      <c r="J1" s="660"/>
      <c r="K1" s="660"/>
      <c r="L1" s="660"/>
    </row>
    <row r="2" spans="1:12" ht="15.75">
      <c r="A2" s="696" t="s">
        <v>373</v>
      </c>
      <c r="B2" s="696"/>
      <c r="C2" s="121">
        <f>'Turbine+Duct Burner stack info'!C4</f>
        <v>1139</v>
      </c>
      <c r="D2" s="101" t="s">
        <v>71</v>
      </c>
      <c r="E2" s="126"/>
      <c r="F2" s="126"/>
      <c r="G2" s="126"/>
      <c r="H2" s="126"/>
      <c r="I2" s="126"/>
      <c r="J2" s="126"/>
      <c r="K2" s="126"/>
      <c r="L2" s="126"/>
    </row>
    <row r="3" ht="13.5" thickBot="1"/>
    <row r="4" spans="1:12" ht="39" thickBot="1">
      <c r="A4" s="127" t="s">
        <v>204</v>
      </c>
      <c r="B4" s="127" t="s">
        <v>298</v>
      </c>
      <c r="C4" s="127" t="s">
        <v>299</v>
      </c>
      <c r="D4" s="127" t="s">
        <v>291</v>
      </c>
      <c r="E4" s="127" t="s">
        <v>292</v>
      </c>
      <c r="F4" s="127" t="s">
        <v>688</v>
      </c>
      <c r="G4" s="127" t="s">
        <v>471</v>
      </c>
      <c r="H4" s="127" t="s">
        <v>333</v>
      </c>
      <c r="I4" s="127" t="s">
        <v>334</v>
      </c>
      <c r="J4" s="127" t="s">
        <v>335</v>
      </c>
      <c r="K4" s="127" t="s">
        <v>305</v>
      </c>
      <c r="L4" s="127" t="s">
        <v>304</v>
      </c>
    </row>
    <row r="5" spans="1:12" ht="70.5" customHeight="1" thickBot="1">
      <c r="A5" s="817" t="s">
        <v>170</v>
      </c>
      <c r="B5" s="762" t="s">
        <v>172</v>
      </c>
      <c r="C5" s="779" t="s">
        <v>491</v>
      </c>
      <c r="D5" s="753" t="s">
        <v>189</v>
      </c>
      <c r="E5" s="211">
        <f>'Turbine Startup Emissions'!G16</f>
        <v>101.32</v>
      </c>
      <c r="F5" s="119">
        <f>E5*453.59/3600</f>
        <v>12.766038555555554</v>
      </c>
      <c r="G5" s="757">
        <f>'Turbine+Duct Burner stack info'!C5</f>
        <v>54.86132276744895</v>
      </c>
      <c r="H5" s="390">
        <f>'Turbine+Duct Burner stack info'!C20</f>
        <v>354.76111111111106</v>
      </c>
      <c r="I5" s="390">
        <f>'Turbine+Duct Burner stack info'!C38</f>
        <v>17.037488570557755</v>
      </c>
      <c r="J5" s="782">
        <f>'Turbine+Duct Burner stack info'!C6</f>
        <v>5.486132276744895</v>
      </c>
      <c r="K5" s="479" t="s">
        <v>647</v>
      </c>
      <c r="L5" s="393" t="s">
        <v>653</v>
      </c>
    </row>
    <row r="6" spans="1:12" ht="67.5" thickBot="1">
      <c r="A6" s="817"/>
      <c r="B6" s="767"/>
      <c r="C6" s="754"/>
      <c r="D6" s="754"/>
      <c r="E6" s="232">
        <f>'Turbine Startup Emissions'!H16</f>
        <v>87.08</v>
      </c>
      <c r="F6" s="119">
        <f aca="true" t="shared" si="0" ref="F6:F21">E6*453.59/3600</f>
        <v>10.971838111111111</v>
      </c>
      <c r="G6" s="758"/>
      <c r="H6" s="392">
        <f>'Turbine+Duct Burner stack info'!D20</f>
        <v>356.0388888888889</v>
      </c>
      <c r="I6" s="392">
        <f>'Turbine+Duct Burner stack info'!D38</f>
        <v>15.940262115208776</v>
      </c>
      <c r="J6" s="783"/>
      <c r="K6" s="479" t="s">
        <v>663</v>
      </c>
      <c r="L6" s="431" t="s">
        <v>661</v>
      </c>
    </row>
    <row r="7" spans="1:12" ht="67.5" thickBot="1">
      <c r="A7" s="817"/>
      <c r="B7" s="767"/>
      <c r="C7" s="754"/>
      <c r="D7" s="767"/>
      <c r="E7" s="232">
        <f>'Turbine Startup Emissions'!I16</f>
        <v>92.82</v>
      </c>
      <c r="F7" s="119">
        <f t="shared" si="0"/>
        <v>11.695062166666665</v>
      </c>
      <c r="G7" s="785"/>
      <c r="H7" s="392">
        <f>'Turbine+Duct Burner stack info'!E20</f>
        <v>359.0388888888889</v>
      </c>
      <c r="I7" s="392">
        <f>'Turbine+Duct Burner stack info'!E38</f>
        <v>15.117342273697043</v>
      </c>
      <c r="J7" s="784"/>
      <c r="K7" s="479" t="s">
        <v>659</v>
      </c>
      <c r="L7" s="394" t="s">
        <v>662</v>
      </c>
    </row>
    <row r="8" spans="1:12" ht="13.5" thickBot="1">
      <c r="A8" s="817"/>
      <c r="B8" s="648"/>
      <c r="C8" s="754"/>
      <c r="D8" s="819" t="s">
        <v>344</v>
      </c>
      <c r="E8" s="820">
        <f>'One Hour Emission Crit Summary'!B9</f>
        <v>0.5499999999999999</v>
      </c>
      <c r="F8" s="821">
        <f t="shared" si="0"/>
        <v>0.06929847222222221</v>
      </c>
      <c r="G8" s="820">
        <f>'Aux Boiler Emissions'!B4</f>
        <v>13.7</v>
      </c>
      <c r="H8" s="820">
        <f>'Aux Boiler Emissions'!B7</f>
        <v>422.0388888888889</v>
      </c>
      <c r="I8" s="820">
        <f>'Aux Boiler Emissions'!B9</f>
        <v>15.239256324291373</v>
      </c>
      <c r="J8" s="820">
        <f>'Aux Boiler Emissions'!B12</f>
        <v>0.7619628162145687</v>
      </c>
      <c r="K8" s="819" t="s">
        <v>29</v>
      </c>
      <c r="L8" s="822"/>
    </row>
    <row r="9" spans="1:12" ht="78.75" thickBot="1">
      <c r="A9" s="817"/>
      <c r="B9" s="756" t="s">
        <v>696</v>
      </c>
      <c r="C9" s="756" t="s">
        <v>689</v>
      </c>
      <c r="D9" s="762" t="s">
        <v>189</v>
      </c>
      <c r="E9" s="632">
        <f>'Turbine and Duct Burner Hourly'!C21</f>
        <v>15.6</v>
      </c>
      <c r="F9" s="633">
        <f t="shared" si="0"/>
        <v>1.9655566666666664</v>
      </c>
      <c r="G9" s="763">
        <f>G5</f>
        <v>54.86132276744895</v>
      </c>
      <c r="H9" s="632">
        <f>'Turbine+Duct Burner stack info'!C21</f>
        <v>352.7055555555555</v>
      </c>
      <c r="I9" s="632">
        <f>'Turbine+Duct Burner stack info'!C39</f>
        <v>21.334958854007922</v>
      </c>
      <c r="J9" s="763">
        <f>J5</f>
        <v>5.486132276744895</v>
      </c>
      <c r="K9" s="610" t="s">
        <v>652</v>
      </c>
      <c r="L9" s="610" t="s">
        <v>652</v>
      </c>
    </row>
    <row r="10" spans="1:12" ht="78.75" thickBot="1">
      <c r="A10" s="817"/>
      <c r="B10" s="760"/>
      <c r="C10" s="760"/>
      <c r="D10" s="648"/>
      <c r="E10" s="634">
        <f>'Turbine and Duct Burner Hourly'!D21</f>
        <v>14.7</v>
      </c>
      <c r="F10" s="635">
        <f t="shared" si="0"/>
        <v>1.8521591666666664</v>
      </c>
      <c r="G10" s="764"/>
      <c r="H10" s="634">
        <f>'Turbine+Duct Burner stack info'!D21</f>
        <v>352.8722222222222</v>
      </c>
      <c r="I10" s="634">
        <f>'Turbine+Duct Burner stack info'!D39</f>
        <v>19.811033221578786</v>
      </c>
      <c r="J10" s="764"/>
      <c r="K10" s="612" t="s">
        <v>672</v>
      </c>
      <c r="L10" s="612" t="s">
        <v>672</v>
      </c>
    </row>
    <row r="11" spans="1:12" ht="78.75" thickBot="1">
      <c r="A11" s="817"/>
      <c r="B11" s="760"/>
      <c r="C11" s="760"/>
      <c r="D11" s="648"/>
      <c r="E11" s="634">
        <f>'Turbine and Duct Burner Hourly'!E21</f>
        <v>14</v>
      </c>
      <c r="F11" s="635">
        <f t="shared" si="0"/>
        <v>1.7639611111111109</v>
      </c>
      <c r="G11" s="765"/>
      <c r="H11" s="634">
        <f>'Turbine+Duct Burner stack info'!E21</f>
        <v>353.76111111111106</v>
      </c>
      <c r="I11" s="634">
        <f>'Turbine+Duct Burner stack info'!E39</f>
        <v>18.896677842121303</v>
      </c>
      <c r="J11" s="765"/>
      <c r="K11" s="612" t="s">
        <v>671</v>
      </c>
      <c r="L11" s="612" t="s">
        <v>671</v>
      </c>
    </row>
    <row r="12" spans="1:12" ht="13.5" thickBot="1">
      <c r="A12" s="817"/>
      <c r="B12" s="760"/>
      <c r="C12" s="760"/>
      <c r="D12" s="70" t="s">
        <v>344</v>
      </c>
      <c r="E12" s="636">
        <f>'Aux Boiler Emissions'!F27*12/24</f>
        <v>0.27499999999999997</v>
      </c>
      <c r="F12" s="635">
        <f t="shared" si="0"/>
        <v>0.034649236111111106</v>
      </c>
      <c r="G12" s="636">
        <f>G8</f>
        <v>13.7</v>
      </c>
      <c r="H12" s="636">
        <f>H8</f>
        <v>422.0388888888889</v>
      </c>
      <c r="I12" s="636">
        <f>I8</f>
        <v>15.239256324291373</v>
      </c>
      <c r="J12" s="636">
        <f>J8</f>
        <v>0.7619628162145687</v>
      </c>
      <c r="K12" s="409" t="s">
        <v>477</v>
      </c>
      <c r="L12" s="410"/>
    </row>
    <row r="13" spans="1:12" ht="26.25" thickBot="1">
      <c r="A13" s="817"/>
      <c r="B13" s="761"/>
      <c r="C13" s="761"/>
      <c r="D13" s="213" t="s">
        <v>297</v>
      </c>
      <c r="E13" s="637">
        <f>'Emergency Fire Pump Emissions'!F30*4/24</f>
        <v>0.2101751214385973</v>
      </c>
      <c r="F13" s="638">
        <f t="shared" si="0"/>
        <v>0.026481481481481484</v>
      </c>
      <c r="G13" s="637">
        <f>'Emergency Fire Pump Emissions'!B7</f>
        <v>10.667479427003961</v>
      </c>
      <c r="H13" s="636">
        <f>'Emergency Fire Pump Emissions'!B9</f>
        <v>809.2611111111111</v>
      </c>
      <c r="I13" s="636">
        <f>'Emergency Fire Pump Emissions'!B13</f>
        <v>65.23208610539527</v>
      </c>
      <c r="J13" s="637">
        <f>'Emergency Fire Pump Emissions'!B16</f>
        <v>0.12699380270242813</v>
      </c>
      <c r="K13" s="397" t="s">
        <v>478</v>
      </c>
      <c r="L13" s="410"/>
    </row>
    <row r="14" spans="1:12" ht="66" thickBot="1">
      <c r="A14" s="817"/>
      <c r="B14" s="756" t="s">
        <v>695</v>
      </c>
      <c r="C14" s="756" t="s">
        <v>689</v>
      </c>
      <c r="D14" s="753" t="s">
        <v>189</v>
      </c>
      <c r="E14" s="632">
        <f>'Turbine and Duct Burner Hourly'!C24</f>
        <v>9.1</v>
      </c>
      <c r="F14" s="639">
        <f t="shared" si="0"/>
        <v>1.1465747222222222</v>
      </c>
      <c r="G14" s="768">
        <f>G5</f>
        <v>54.86132276744895</v>
      </c>
      <c r="H14" s="632">
        <f>'Turbine+Duct Burner stack info'!C24</f>
        <v>356.09444444444443</v>
      </c>
      <c r="I14" s="632">
        <f>'Turbine+Duct Burner stack info'!C42</f>
        <v>15.239256324291373</v>
      </c>
      <c r="J14" s="768">
        <f>J5</f>
        <v>5.486132276744895</v>
      </c>
      <c r="K14" s="610" t="s">
        <v>667</v>
      </c>
      <c r="L14" s="432" t="s">
        <v>667</v>
      </c>
    </row>
    <row r="15" spans="1:12" ht="78.75" thickBot="1">
      <c r="A15" s="817"/>
      <c r="B15" s="766"/>
      <c r="C15" s="760"/>
      <c r="D15" s="754"/>
      <c r="E15" s="634">
        <f>'Turbine and Duct Burner Hourly'!D24</f>
        <v>7.4</v>
      </c>
      <c r="F15" s="633">
        <f t="shared" si="0"/>
        <v>0.9323794444444444</v>
      </c>
      <c r="G15" s="769"/>
      <c r="H15" s="634">
        <f>'Turbine+Duct Burner stack info'!D24</f>
        <v>355.31666666666666</v>
      </c>
      <c r="I15" s="634">
        <f>'Turbine+Duct Burner stack info'!D42</f>
        <v>13.10576043889058</v>
      </c>
      <c r="J15" s="769"/>
      <c r="K15" s="618" t="s">
        <v>668</v>
      </c>
      <c r="L15" s="394" t="s">
        <v>668</v>
      </c>
    </row>
    <row r="16" spans="1:12" ht="66" thickBot="1">
      <c r="A16" s="817"/>
      <c r="B16" s="766"/>
      <c r="C16" s="760"/>
      <c r="D16" s="767"/>
      <c r="E16" s="634">
        <f>'Turbine and Duct Burner Hourly'!E24</f>
        <v>7.4</v>
      </c>
      <c r="F16" s="635">
        <f t="shared" si="0"/>
        <v>0.9323794444444444</v>
      </c>
      <c r="G16" s="769"/>
      <c r="H16" s="634">
        <f>'Turbine+Duct Burner stack info'!E24</f>
        <v>358.2055555555555</v>
      </c>
      <c r="I16" s="634">
        <f>'Turbine+Duct Burner stack info'!E42</f>
        <v>13.715330691862237</v>
      </c>
      <c r="J16" s="769"/>
      <c r="K16" s="618" t="s">
        <v>669</v>
      </c>
      <c r="L16" s="394" t="s">
        <v>670</v>
      </c>
    </row>
    <row r="17" spans="1:12" ht="13.5" thickBot="1">
      <c r="A17" s="817"/>
      <c r="B17" s="760"/>
      <c r="C17" s="760"/>
      <c r="D17" s="70" t="s">
        <v>344</v>
      </c>
      <c r="E17" s="408">
        <f>E12</f>
        <v>0.27499999999999997</v>
      </c>
      <c r="F17" s="119">
        <f t="shared" si="0"/>
        <v>0.034649236111111106</v>
      </c>
      <c r="G17" s="408">
        <f aca="true" t="shared" si="1" ref="G17:J18">G12</f>
        <v>13.7</v>
      </c>
      <c r="H17" s="408">
        <f t="shared" si="1"/>
        <v>422.0388888888889</v>
      </c>
      <c r="I17" s="408">
        <f t="shared" si="1"/>
        <v>15.239256324291373</v>
      </c>
      <c r="J17" s="408">
        <f t="shared" si="1"/>
        <v>0.7619628162145687</v>
      </c>
      <c r="K17" s="396" t="s">
        <v>477</v>
      </c>
      <c r="L17" s="410"/>
    </row>
    <row r="18" spans="1:12" ht="26.25" thickBot="1">
      <c r="A18" s="817"/>
      <c r="B18" s="761"/>
      <c r="C18" s="761"/>
      <c r="D18" s="213" t="s">
        <v>297</v>
      </c>
      <c r="E18" s="215">
        <f>E13</f>
        <v>0.2101751214385973</v>
      </c>
      <c r="F18" s="214">
        <f t="shared" si="0"/>
        <v>0.026481481481481484</v>
      </c>
      <c r="G18" s="215">
        <f t="shared" si="1"/>
        <v>10.667479427003961</v>
      </c>
      <c r="H18" s="215">
        <f t="shared" si="1"/>
        <v>809.2611111111111</v>
      </c>
      <c r="I18" s="215">
        <f t="shared" si="1"/>
        <v>65.23208610539527</v>
      </c>
      <c r="J18" s="215">
        <f t="shared" si="1"/>
        <v>0.12699380270242813</v>
      </c>
      <c r="K18" s="397" t="s">
        <v>478</v>
      </c>
      <c r="L18" s="381"/>
    </row>
    <row r="19" spans="1:12" ht="34.5" customHeight="1" thickBot="1">
      <c r="A19" s="818" t="s">
        <v>690</v>
      </c>
      <c r="B19" s="762" t="s">
        <v>171</v>
      </c>
      <c r="C19" s="753" t="s">
        <v>336</v>
      </c>
      <c r="D19" s="210" t="s">
        <v>189</v>
      </c>
      <c r="E19" s="211">
        <f>'Annual Project Total Emissions'!B14*2000/8760</f>
        <v>15.860082762557079</v>
      </c>
      <c r="F19" s="212">
        <f>E19*453.59/3600</f>
        <v>1.9983263722967404</v>
      </c>
      <c r="G19" s="211">
        <f>G5</f>
        <v>54.86132276744895</v>
      </c>
      <c r="H19" s="211">
        <f>'Turbine Stack Data Weighted Ave'!C10</f>
        <v>355.23475192929055</v>
      </c>
      <c r="I19" s="211">
        <f>'Turbine Stack Data Weighted Ave'!D10</f>
        <v>18.103099337317584</v>
      </c>
      <c r="J19" s="211">
        <f>J5</f>
        <v>5.486132276744895</v>
      </c>
      <c r="K19" s="210" t="s">
        <v>300</v>
      </c>
      <c r="L19" s="617" t="s">
        <v>675</v>
      </c>
    </row>
    <row r="20" spans="1:12" ht="34.5" customHeight="1" thickBot="1">
      <c r="A20" s="817"/>
      <c r="B20" s="648"/>
      <c r="C20" s="754"/>
      <c r="D20" s="70" t="s">
        <v>344</v>
      </c>
      <c r="E20" s="117">
        <f>'Annual Project Total Emissions'!B15*2000/8760</f>
        <v>0.028253424657534245</v>
      </c>
      <c r="F20" s="119">
        <f t="shared" si="0"/>
        <v>0.0035598530251141547</v>
      </c>
      <c r="G20" s="117">
        <f>G8</f>
        <v>13.7</v>
      </c>
      <c r="H20" s="117">
        <f>H8</f>
        <v>422.0388888888889</v>
      </c>
      <c r="I20" s="117">
        <f>I8</f>
        <v>15.239256324291373</v>
      </c>
      <c r="J20" s="117">
        <f>J8</f>
        <v>0.7619628162145687</v>
      </c>
      <c r="K20" s="70" t="s">
        <v>300</v>
      </c>
      <c r="L20" s="380"/>
    </row>
    <row r="21" spans="1:12" ht="34.5" customHeight="1" thickBot="1">
      <c r="A21" s="817"/>
      <c r="B21" s="772"/>
      <c r="C21" s="755"/>
      <c r="D21" s="213" t="s">
        <v>297</v>
      </c>
      <c r="E21" s="215">
        <f>'Annual Project Total Emissions'!B16*2000/8760</f>
        <v>0.014395556262917622</v>
      </c>
      <c r="F21" s="214">
        <f t="shared" si="0"/>
        <v>0.0018138001014713343</v>
      </c>
      <c r="G21" s="215">
        <f>'Emergency Fire Pump Emissions'!B7</f>
        <v>10.667479427003961</v>
      </c>
      <c r="H21" s="215">
        <f>'Emergency Fire Pump Emissions'!B9</f>
        <v>809.2611111111111</v>
      </c>
      <c r="I21" s="215">
        <f>'Emergency Fire Pump Emissions'!B13</f>
        <v>65.23208610539527</v>
      </c>
      <c r="J21" s="215">
        <f>'Emergency Fire Pump Emissions'!B16</f>
        <v>0.12699380270242813</v>
      </c>
      <c r="K21" s="213" t="s">
        <v>300</v>
      </c>
      <c r="L21" s="381"/>
    </row>
    <row r="22" spans="1:12" ht="13.5" thickBot="1">
      <c r="A22" s="32"/>
      <c r="B22" s="36"/>
      <c r="C22" s="9"/>
      <c r="D22" s="36"/>
      <c r="E22" s="216"/>
      <c r="F22" s="9"/>
      <c r="G22" s="9"/>
      <c r="H22" s="9"/>
      <c r="I22" s="9"/>
      <c r="J22" s="9"/>
      <c r="K22" s="36"/>
      <c r="L22" s="9"/>
    </row>
    <row r="23" spans="1:12" ht="39.75">
      <c r="A23" s="779" t="s">
        <v>191</v>
      </c>
      <c r="B23" s="779" t="s">
        <v>687</v>
      </c>
      <c r="C23" s="779" t="s">
        <v>322</v>
      </c>
      <c r="D23" s="210" t="s">
        <v>189</v>
      </c>
      <c r="E23" s="211">
        <f>'Turbine Startup Emissions'!$G$17</f>
        <v>262.28</v>
      </c>
      <c r="F23" s="212">
        <f>E23*453.59/3600</f>
        <v>33.04655144444444</v>
      </c>
      <c r="G23" s="211">
        <f>G5</f>
        <v>54.86132276744895</v>
      </c>
      <c r="H23" s="313">
        <f>'Turbine+Duct Burner stack info'!$D$24</f>
        <v>355.31666666666666</v>
      </c>
      <c r="I23" s="313">
        <f>'Turbine+Duct Burner stack info'!$D$42</f>
        <v>13.10576043889058</v>
      </c>
      <c r="J23" s="211">
        <f>J5</f>
        <v>5.486132276744895</v>
      </c>
      <c r="K23" s="610" t="s">
        <v>648</v>
      </c>
      <c r="L23" s="432" t="s">
        <v>686</v>
      </c>
    </row>
    <row r="24" spans="1:12" ht="25.5">
      <c r="A24" s="780"/>
      <c r="B24" s="780"/>
      <c r="C24" s="780"/>
      <c r="D24" s="70" t="s">
        <v>344</v>
      </c>
      <c r="E24" s="117">
        <f>'One Hour Emission Crit Summary'!C9</f>
        <v>1.8499999999999999</v>
      </c>
      <c r="F24" s="119">
        <f>E24*453.59/3600</f>
        <v>0.23309486111111108</v>
      </c>
      <c r="G24" s="117">
        <f>G8</f>
        <v>13.7</v>
      </c>
      <c r="H24" s="117">
        <f>H8</f>
        <v>422.0388888888889</v>
      </c>
      <c r="I24" s="117">
        <f>I8</f>
        <v>15.239256324291373</v>
      </c>
      <c r="J24" s="117">
        <f>J8</f>
        <v>0.7619628162145687</v>
      </c>
      <c r="K24" s="70" t="s">
        <v>306</v>
      </c>
      <c r="L24" s="380"/>
    </row>
    <row r="25" spans="1:12" ht="31.5" customHeight="1" thickBot="1">
      <c r="A25" s="781"/>
      <c r="B25" s="781"/>
      <c r="C25" s="781"/>
      <c r="D25" s="213" t="s">
        <v>297</v>
      </c>
      <c r="E25" s="215">
        <f>'One Hour Emission Crit Summary'!C10</f>
        <v>0.81223131021407</v>
      </c>
      <c r="F25" s="214">
        <f>E25*453.59/3600</f>
        <v>0.1023388888888889</v>
      </c>
      <c r="G25" s="215">
        <f>G21</f>
        <v>10.667479427003961</v>
      </c>
      <c r="H25" s="215">
        <f>H21</f>
        <v>809.2611111111111</v>
      </c>
      <c r="I25" s="215">
        <f>I21</f>
        <v>65.23208610539527</v>
      </c>
      <c r="J25" s="215">
        <f>J21</f>
        <v>0.12699380270242813</v>
      </c>
      <c r="K25" s="213" t="s">
        <v>306</v>
      </c>
      <c r="L25" s="381"/>
    </row>
    <row r="26" spans="1:12" ht="13.5" thickBot="1">
      <c r="A26" s="395"/>
      <c r="B26" s="109"/>
      <c r="C26" s="109"/>
      <c r="D26" s="261"/>
      <c r="E26" s="376"/>
      <c r="F26" s="377"/>
      <c r="G26" s="376"/>
      <c r="H26" s="376"/>
      <c r="I26" s="376"/>
      <c r="J26" s="376"/>
      <c r="K26" s="261"/>
      <c r="L26"/>
    </row>
    <row r="27" spans="1:12" ht="78.75" customHeight="1" thickBot="1">
      <c r="A27" s="816" t="s">
        <v>133</v>
      </c>
      <c r="B27" s="757" t="s">
        <v>681</v>
      </c>
      <c r="C27" s="757" t="s">
        <v>472</v>
      </c>
      <c r="D27" s="757" t="s">
        <v>189</v>
      </c>
      <c r="E27" s="211">
        <f>'Turbine and Duct Burner Hourly'!C66</f>
        <v>4.1</v>
      </c>
      <c r="F27" s="212">
        <f>E27*453.59/3600</f>
        <v>0.5165886111111111</v>
      </c>
      <c r="G27" s="757">
        <f>G5</f>
        <v>54.86132276744895</v>
      </c>
      <c r="H27" s="211">
        <f>'Turbine+Duct Burner stack info'!C21</f>
        <v>352.7055555555555</v>
      </c>
      <c r="I27" s="211">
        <f>'Turbine+Duct Burner stack info'!C39</f>
        <v>21.334958854007922</v>
      </c>
      <c r="J27" s="757">
        <f>J5</f>
        <v>5.486132276744895</v>
      </c>
      <c r="K27" s="610" t="s">
        <v>654</v>
      </c>
      <c r="L27" s="616" t="s">
        <v>654</v>
      </c>
    </row>
    <row r="28" spans="1:12" ht="78.75" customHeight="1" thickBot="1">
      <c r="A28" s="816"/>
      <c r="B28" s="758"/>
      <c r="C28" s="758"/>
      <c r="D28" s="758"/>
      <c r="E28" s="117">
        <f>'Turbine and Duct Burner Hourly'!D66</f>
        <v>3.8</v>
      </c>
      <c r="F28" s="119">
        <f>E28*453.59/3600</f>
        <v>0.4787894444444444</v>
      </c>
      <c r="G28" s="758"/>
      <c r="H28" s="117">
        <f>'Turbine+Duct Burner stack info'!D21</f>
        <v>352.8722222222222</v>
      </c>
      <c r="I28" s="117">
        <f>'Turbine+Duct Burner stack info'!D39</f>
        <v>19.811033221578786</v>
      </c>
      <c r="J28" s="758"/>
      <c r="K28" s="612" t="s">
        <v>655</v>
      </c>
      <c r="L28" s="46" t="s">
        <v>655</v>
      </c>
    </row>
    <row r="29" spans="1:12" ht="78.75" customHeight="1" thickBot="1">
      <c r="A29" s="816"/>
      <c r="B29" s="758"/>
      <c r="C29" s="758"/>
      <c r="D29" s="785"/>
      <c r="E29" s="117">
        <f>'Turbine and Duct Burner Hourly'!E66</f>
        <v>3.6</v>
      </c>
      <c r="F29" s="119">
        <f>E29*453.59/3600</f>
        <v>0.45359</v>
      </c>
      <c r="G29" s="785"/>
      <c r="H29" s="316">
        <f>'Turbine+Duct Burner stack info'!E21</f>
        <v>353.76111111111106</v>
      </c>
      <c r="I29" s="316">
        <f>'Turbine+Duct Burner stack info'!E39</f>
        <v>18.896677842121303</v>
      </c>
      <c r="J29" s="785"/>
      <c r="K29" s="612" t="s">
        <v>664</v>
      </c>
      <c r="L29" s="607" t="s">
        <v>664</v>
      </c>
    </row>
    <row r="30" spans="1:12" ht="13.5" thickBot="1">
      <c r="A30" s="816"/>
      <c r="B30" s="758"/>
      <c r="C30" s="758"/>
      <c r="D30" s="70" t="s">
        <v>344</v>
      </c>
      <c r="E30" s="117">
        <f>'Aux Boiler Emissions'!$F$30</f>
        <v>0.10873767639667506</v>
      </c>
      <c r="F30" s="119">
        <f aca="true" t="shared" si="2" ref="F30:F44">E30*453.59/3600</f>
        <v>0.013700645176879954</v>
      </c>
      <c r="G30" s="117">
        <f>$G$8</f>
        <v>13.7</v>
      </c>
      <c r="H30" s="117">
        <f>$H$8</f>
        <v>422.0388888888889</v>
      </c>
      <c r="I30" s="117">
        <f>$I$8</f>
        <v>15.239256324291373</v>
      </c>
      <c r="J30" s="117">
        <f>$J$8</f>
        <v>0.7619628162145687</v>
      </c>
      <c r="K30" s="612" t="s">
        <v>29</v>
      </c>
      <c r="L30" s="614"/>
    </row>
    <row r="31" spans="1:12" ht="26.25" thickBot="1">
      <c r="A31" s="816"/>
      <c r="B31" s="759"/>
      <c r="C31" s="759"/>
      <c r="D31" s="612" t="s">
        <v>649</v>
      </c>
      <c r="E31" s="412">
        <f>'Emergency Fire Pump Emissions'!$F$33</f>
        <v>0.0031551</v>
      </c>
      <c r="F31" s="214">
        <f t="shared" si="2"/>
        <v>0.0003975338358333333</v>
      </c>
      <c r="G31" s="215">
        <f>G25</f>
        <v>10.667479427003961</v>
      </c>
      <c r="H31" s="215">
        <f>H25</f>
        <v>809.2611111111111</v>
      </c>
      <c r="I31" s="215">
        <f>I25</f>
        <v>65.23208610539527</v>
      </c>
      <c r="J31" s="215">
        <f>J25</f>
        <v>0.12699380270242813</v>
      </c>
      <c r="K31" s="613" t="s">
        <v>29</v>
      </c>
      <c r="L31" s="615"/>
    </row>
    <row r="32" spans="1:12" ht="66" thickBot="1">
      <c r="A32" s="816"/>
      <c r="B32" s="816" t="s">
        <v>682</v>
      </c>
      <c r="C32" s="816" t="s">
        <v>472</v>
      </c>
      <c r="D32" s="786" t="s">
        <v>189</v>
      </c>
      <c r="E32" s="211">
        <f>'Turbine and Duct Burner Hourly'!C65</f>
        <v>3.6</v>
      </c>
      <c r="F32" s="119">
        <f t="shared" si="2"/>
        <v>0.45359</v>
      </c>
      <c r="G32" s="757">
        <f>G5</f>
        <v>54.86132276744895</v>
      </c>
      <c r="H32" s="211">
        <f>'Turbine+Duct Burner stack info'!C20</f>
        <v>354.76111111111106</v>
      </c>
      <c r="I32" s="211">
        <f>'Turbine+Duct Burner stack info'!C38</f>
        <v>17.037488570557755</v>
      </c>
      <c r="J32" s="757">
        <f>J5</f>
        <v>5.486132276744895</v>
      </c>
      <c r="K32" s="479" t="s">
        <v>656</v>
      </c>
      <c r="L32" s="393" t="s">
        <v>657</v>
      </c>
    </row>
    <row r="33" spans="1:12" ht="69" thickBot="1">
      <c r="A33" s="816"/>
      <c r="B33" s="816"/>
      <c r="C33" s="816"/>
      <c r="D33" s="787"/>
      <c r="E33" s="117">
        <f>'Turbine and Duct Burner Hourly'!D65</f>
        <v>3.4</v>
      </c>
      <c r="F33" s="119">
        <f t="shared" si="2"/>
        <v>0.42839055555555555</v>
      </c>
      <c r="G33" s="758"/>
      <c r="H33" s="117">
        <f>'Turbine+Duct Burner stack info'!D20</f>
        <v>356.0388888888889</v>
      </c>
      <c r="I33" s="117">
        <f>'Turbine+Duct Burner stack info'!D38</f>
        <v>15.940262115208776</v>
      </c>
      <c r="J33" s="758"/>
      <c r="K33" s="479" t="s">
        <v>665</v>
      </c>
      <c r="L33" s="431" t="s">
        <v>660</v>
      </c>
    </row>
    <row r="34" spans="1:12" ht="67.5" thickBot="1">
      <c r="A34" s="816"/>
      <c r="B34" s="816"/>
      <c r="C34" s="816"/>
      <c r="D34" s="788"/>
      <c r="E34" s="117">
        <f>'Turbine and Duct Burner Hourly'!E65</f>
        <v>3.2</v>
      </c>
      <c r="F34" s="119">
        <f t="shared" si="2"/>
        <v>0.4031911111111111</v>
      </c>
      <c r="G34" s="785"/>
      <c r="H34" s="117">
        <f>'Turbine+Duct Burner stack info'!E20</f>
        <v>359.0388888888889</v>
      </c>
      <c r="I34" s="117">
        <f>'Turbine+Duct Burner stack info'!E38</f>
        <v>15.117342273697043</v>
      </c>
      <c r="J34" s="785"/>
      <c r="K34" s="479" t="s">
        <v>658</v>
      </c>
      <c r="L34" s="394" t="s">
        <v>666</v>
      </c>
    </row>
    <row r="35" spans="1:12" ht="13.5" thickBot="1">
      <c r="A35" s="816"/>
      <c r="B35" s="816"/>
      <c r="C35" s="816"/>
      <c r="D35" s="611" t="s">
        <v>344</v>
      </c>
      <c r="E35" s="117">
        <f>'Aux Boiler Emissions'!$F$30</f>
        <v>0.10873767639667506</v>
      </c>
      <c r="F35" s="119">
        <f>E35*453.59/3600</f>
        <v>0.013700645176879954</v>
      </c>
      <c r="G35" s="117">
        <f>$G$8</f>
        <v>13.7</v>
      </c>
      <c r="H35" s="117">
        <f>$H$8</f>
        <v>422.0388888888889</v>
      </c>
      <c r="I35" s="117">
        <f>$I$8</f>
        <v>15.239256324291373</v>
      </c>
      <c r="J35" s="117">
        <f>$J$8</f>
        <v>0.7619628162145687</v>
      </c>
      <c r="K35" s="612" t="s">
        <v>29</v>
      </c>
      <c r="L35" s="614"/>
    </row>
    <row r="36" spans="1:12" ht="26.25" thickBot="1">
      <c r="A36" s="816"/>
      <c r="B36" s="816"/>
      <c r="C36" s="816"/>
      <c r="D36" s="613" t="s">
        <v>649</v>
      </c>
      <c r="E36" s="412">
        <f>'Emergency Fire Pump Emissions'!$F$33</f>
        <v>0.0031551</v>
      </c>
      <c r="F36" s="214">
        <f>E36*453.59/3600</f>
        <v>0.0003975338358333333</v>
      </c>
      <c r="G36" s="215">
        <f>G31</f>
        <v>10.667479427003961</v>
      </c>
      <c r="H36" s="215">
        <f>H31</f>
        <v>809.2611111111111</v>
      </c>
      <c r="I36" s="215">
        <f>I31</f>
        <v>65.23208610539527</v>
      </c>
      <c r="J36" s="215">
        <f>J31</f>
        <v>0.12699380270242813</v>
      </c>
      <c r="K36" s="613" t="s">
        <v>29</v>
      </c>
      <c r="L36" s="615"/>
    </row>
    <row r="37" spans="1:12" ht="72" customHeight="1" thickBot="1">
      <c r="A37" s="816" t="s">
        <v>691</v>
      </c>
      <c r="B37" s="818" t="s">
        <v>683</v>
      </c>
      <c r="C37" s="817" t="s">
        <v>472</v>
      </c>
      <c r="D37" s="816" t="s">
        <v>189</v>
      </c>
      <c r="E37" s="211">
        <f>'Turbine and Duct Burner Hourly'!C69</f>
        <v>2.6</v>
      </c>
      <c r="F37" s="212">
        <f t="shared" si="2"/>
        <v>0.3275927777777778</v>
      </c>
      <c r="G37" s="816">
        <f>G5</f>
        <v>54.86132276744895</v>
      </c>
      <c r="H37" s="313">
        <f>'Turbine+Duct Burner stack info'!C24</f>
        <v>356.09444444444443</v>
      </c>
      <c r="I37" s="313">
        <f>'Turbine+Duct Burner stack info'!C42</f>
        <v>15.239256324291373</v>
      </c>
      <c r="J37" s="816">
        <f>J5</f>
        <v>5.486132276744895</v>
      </c>
      <c r="K37" s="610" t="s">
        <v>667</v>
      </c>
      <c r="L37" s="432" t="s">
        <v>667</v>
      </c>
    </row>
    <row r="38" spans="1:12" ht="78.75" customHeight="1" thickBot="1">
      <c r="A38" s="816"/>
      <c r="B38" s="817"/>
      <c r="C38" s="817"/>
      <c r="D38" s="816"/>
      <c r="E38" s="232">
        <f>'Turbine and Duct Burner Hourly'!D69</f>
        <v>2.1</v>
      </c>
      <c r="F38" s="119">
        <f t="shared" si="2"/>
        <v>0.2645941666666667</v>
      </c>
      <c r="G38" s="816"/>
      <c r="H38" s="324">
        <f>'Turbine+Duct Burner stack info'!D24</f>
        <v>355.31666666666666</v>
      </c>
      <c r="I38" s="324">
        <f>'Turbine+Duct Burner stack info'!D42</f>
        <v>13.10576043889058</v>
      </c>
      <c r="J38" s="816"/>
      <c r="K38" s="618" t="s">
        <v>668</v>
      </c>
      <c r="L38" s="394" t="s">
        <v>668</v>
      </c>
    </row>
    <row r="39" spans="1:12" ht="72" customHeight="1" thickBot="1">
      <c r="A39" s="816"/>
      <c r="B39" s="817"/>
      <c r="C39" s="817"/>
      <c r="D39" s="794"/>
      <c r="E39" s="232">
        <f>'Turbine and Duct Burner Hourly'!E69</f>
        <v>2.1</v>
      </c>
      <c r="F39" s="119">
        <f t="shared" si="2"/>
        <v>0.2645941666666667</v>
      </c>
      <c r="G39" s="794"/>
      <c r="H39" s="324">
        <f>'Turbine+Duct Burner stack info'!E24</f>
        <v>358.2055555555555</v>
      </c>
      <c r="I39" s="324">
        <f>'Turbine+Duct Burner stack info'!E42</f>
        <v>13.715330691862237</v>
      </c>
      <c r="J39" s="794"/>
      <c r="K39" s="618" t="s">
        <v>669</v>
      </c>
      <c r="L39" s="394" t="s">
        <v>670</v>
      </c>
    </row>
    <row r="40" spans="1:12" ht="13.5" thickBot="1">
      <c r="A40" s="816"/>
      <c r="B40" s="817"/>
      <c r="C40" s="817"/>
      <c r="D40" s="70" t="s">
        <v>344</v>
      </c>
      <c r="E40" s="117">
        <f>E30</f>
        <v>0.10873767639667506</v>
      </c>
      <c r="F40" s="119">
        <f t="shared" si="2"/>
        <v>0.013700645176879954</v>
      </c>
      <c r="G40" s="117">
        <f>G8</f>
        <v>13.7</v>
      </c>
      <c r="H40" s="117">
        <f>H8</f>
        <v>422.0388888888889</v>
      </c>
      <c r="I40" s="117">
        <f>I8</f>
        <v>15.239256324291373</v>
      </c>
      <c r="J40" s="117">
        <f>J8</f>
        <v>0.7619628162145687</v>
      </c>
      <c r="K40" s="396" t="s">
        <v>29</v>
      </c>
      <c r="L40" s="380"/>
    </row>
    <row r="41" spans="1:12" ht="26.25" thickBot="1">
      <c r="A41" s="816"/>
      <c r="B41" s="817"/>
      <c r="C41" s="817"/>
      <c r="D41" s="613" t="s">
        <v>649</v>
      </c>
      <c r="E41" s="412">
        <f>E31</f>
        <v>0.0031551</v>
      </c>
      <c r="F41" s="214">
        <f t="shared" si="2"/>
        <v>0.0003975338358333333</v>
      </c>
      <c r="G41" s="215">
        <f>G36</f>
        <v>10.667479427003961</v>
      </c>
      <c r="H41" s="215">
        <f>H36</f>
        <v>809.2611111111111</v>
      </c>
      <c r="I41" s="215">
        <f>I36</f>
        <v>65.23208610539527</v>
      </c>
      <c r="J41" s="215">
        <f>J36</f>
        <v>0.12699380270242813</v>
      </c>
      <c r="K41" s="397" t="s">
        <v>29</v>
      </c>
      <c r="L41" s="381"/>
    </row>
    <row r="42" spans="1:12" ht="66.75" customHeight="1" thickBot="1">
      <c r="A42" s="816"/>
      <c r="B42" s="818" t="s">
        <v>650</v>
      </c>
      <c r="C42" s="823" t="s">
        <v>472</v>
      </c>
      <c r="D42" s="762" t="s">
        <v>189</v>
      </c>
      <c r="E42" s="211">
        <f>'Turbine and Duct Burner Hourly'!C66</f>
        <v>4.1</v>
      </c>
      <c r="F42" s="119">
        <f t="shared" si="2"/>
        <v>0.5165886111111111</v>
      </c>
      <c r="G42" s="757">
        <f>G5</f>
        <v>54.86132276744895</v>
      </c>
      <c r="H42" s="211">
        <f>'Turbine+Duct Burner stack info'!C21</f>
        <v>352.7055555555555</v>
      </c>
      <c r="I42" s="211">
        <f>'Turbine+Duct Burner stack info'!C39</f>
        <v>21.334958854007922</v>
      </c>
      <c r="J42" s="757">
        <f>J5</f>
        <v>5.486132276744895</v>
      </c>
      <c r="K42" s="610" t="s">
        <v>652</v>
      </c>
      <c r="L42" s="610" t="s">
        <v>652</v>
      </c>
    </row>
    <row r="43" spans="1:12" ht="76.5" customHeight="1" thickBot="1">
      <c r="A43" s="816"/>
      <c r="B43" s="823"/>
      <c r="C43" s="823"/>
      <c r="D43" s="648"/>
      <c r="E43" s="117">
        <f>'Turbine and Duct Burner Hourly'!D66</f>
        <v>3.8</v>
      </c>
      <c r="F43" s="119">
        <f t="shared" si="2"/>
        <v>0.4787894444444444</v>
      </c>
      <c r="G43" s="758"/>
      <c r="H43" s="117">
        <f>'Turbine+Duct Burner stack info'!D21</f>
        <v>352.8722222222222</v>
      </c>
      <c r="I43" s="117">
        <f>'Turbine+Duct Burner stack info'!D39</f>
        <v>19.811033221578786</v>
      </c>
      <c r="J43" s="758"/>
      <c r="K43" s="612" t="s">
        <v>672</v>
      </c>
      <c r="L43" s="612" t="s">
        <v>672</v>
      </c>
    </row>
    <row r="44" spans="1:12" ht="76.5" customHeight="1" thickBot="1">
      <c r="A44" s="816"/>
      <c r="B44" s="823"/>
      <c r="C44" s="823"/>
      <c r="D44" s="648"/>
      <c r="E44" s="117">
        <f>'Turbine and Duct Burner Hourly'!E66</f>
        <v>3.6</v>
      </c>
      <c r="F44" s="119">
        <f t="shared" si="2"/>
        <v>0.45359</v>
      </c>
      <c r="G44" s="785"/>
      <c r="H44" s="117">
        <f>'Turbine+Duct Burner stack info'!E21</f>
        <v>353.76111111111106</v>
      </c>
      <c r="I44" s="117">
        <f>'Turbine+Duct Burner stack info'!E39</f>
        <v>18.896677842121303</v>
      </c>
      <c r="J44" s="785"/>
      <c r="K44" s="612" t="s">
        <v>671</v>
      </c>
      <c r="L44" s="612" t="s">
        <v>671</v>
      </c>
    </row>
    <row r="45" spans="1:12" ht="13.5" thickBot="1">
      <c r="A45" s="816"/>
      <c r="B45" s="823"/>
      <c r="C45" s="823"/>
      <c r="D45" s="70" t="s">
        <v>344</v>
      </c>
      <c r="E45" s="408">
        <f>'Aux Boiler Emissions'!F30*12/24</f>
        <v>0.05436883819833752</v>
      </c>
      <c r="F45" s="119">
        <f aca="true" t="shared" si="3" ref="F45:F54">E45*453.59/3600</f>
        <v>0.006850322588439976</v>
      </c>
      <c r="G45" s="408">
        <f>G8</f>
        <v>13.7</v>
      </c>
      <c r="H45" s="408">
        <f>H8</f>
        <v>422.0388888888889</v>
      </c>
      <c r="I45" s="408">
        <f>I8</f>
        <v>15.239256324291373</v>
      </c>
      <c r="J45" s="408">
        <f>J8</f>
        <v>0.7619628162145687</v>
      </c>
      <c r="K45" s="409" t="s">
        <v>477</v>
      </c>
      <c r="L45" s="410"/>
    </row>
    <row r="46" spans="1:12" ht="26.25" thickBot="1">
      <c r="A46" s="816"/>
      <c r="B46" s="823"/>
      <c r="C46" s="823"/>
      <c r="D46" s="213" t="s">
        <v>297</v>
      </c>
      <c r="E46" s="379">
        <f>'Emergency Fire Pump Emissions'!F33*4/24</f>
        <v>0.00052585</v>
      </c>
      <c r="F46" s="214">
        <f t="shared" si="3"/>
        <v>6.625563930555555E-05</v>
      </c>
      <c r="G46" s="215">
        <f>G41</f>
        <v>10.667479427003961</v>
      </c>
      <c r="H46" s="215">
        <f>H41</f>
        <v>809.2611111111111</v>
      </c>
      <c r="I46" s="215">
        <f>I41</f>
        <v>65.23208610539527</v>
      </c>
      <c r="J46" s="215">
        <f>J41</f>
        <v>0.12699380270242813</v>
      </c>
      <c r="K46" s="397" t="s">
        <v>478</v>
      </c>
      <c r="L46" s="381"/>
    </row>
    <row r="47" spans="1:12" ht="84.75" customHeight="1" thickBot="1">
      <c r="A47" s="756" t="s">
        <v>692</v>
      </c>
      <c r="B47" s="818" t="s">
        <v>651</v>
      </c>
      <c r="C47" s="818" t="s">
        <v>472</v>
      </c>
      <c r="D47" s="817" t="s">
        <v>189</v>
      </c>
      <c r="E47" s="211">
        <f>'Turbine and Duct Burner Hourly'!C69</f>
        <v>2.6</v>
      </c>
      <c r="F47" s="212">
        <f t="shared" si="3"/>
        <v>0.3275927777777778</v>
      </c>
      <c r="G47" s="816">
        <f>G5</f>
        <v>54.86132276744895</v>
      </c>
      <c r="H47" s="211">
        <f>'Turbine+Duct Burner stack info'!C24</f>
        <v>356.09444444444443</v>
      </c>
      <c r="I47" s="211">
        <f>'Turbine+Duct Burner stack info'!C42</f>
        <v>15.239256324291373</v>
      </c>
      <c r="J47" s="816">
        <f>J5</f>
        <v>5.486132276744895</v>
      </c>
      <c r="K47" s="610" t="s">
        <v>667</v>
      </c>
      <c r="L47" s="432" t="s">
        <v>667</v>
      </c>
    </row>
    <row r="48" spans="1:12" ht="84.75" customHeight="1" thickBot="1">
      <c r="A48" s="760"/>
      <c r="B48" s="818"/>
      <c r="C48" s="818"/>
      <c r="D48" s="817"/>
      <c r="E48" s="117">
        <f>'Turbine and Duct Burner Hourly'!D69</f>
        <v>2.1</v>
      </c>
      <c r="F48" s="630">
        <f t="shared" si="3"/>
        <v>0.2645941666666667</v>
      </c>
      <c r="G48" s="816"/>
      <c r="H48" s="117">
        <f>'Turbine+Duct Burner stack info'!D24</f>
        <v>355.31666666666666</v>
      </c>
      <c r="I48" s="117">
        <f>'Turbine+Duct Burner stack info'!D42</f>
        <v>13.10576043889058</v>
      </c>
      <c r="J48" s="816"/>
      <c r="K48" s="618" t="s">
        <v>668</v>
      </c>
      <c r="L48" s="394" t="s">
        <v>668</v>
      </c>
    </row>
    <row r="49" spans="1:12" ht="84.75" customHeight="1" thickBot="1">
      <c r="A49" s="760"/>
      <c r="B49" s="818"/>
      <c r="C49" s="818"/>
      <c r="D49" s="762"/>
      <c r="E49" s="117">
        <f>'Turbine and Duct Burner Hourly'!E69</f>
        <v>2.1</v>
      </c>
      <c r="F49" s="119">
        <f t="shared" si="3"/>
        <v>0.2645941666666667</v>
      </c>
      <c r="G49" s="794"/>
      <c r="H49" s="117">
        <f>'Turbine+Duct Burner stack info'!E24</f>
        <v>358.2055555555555</v>
      </c>
      <c r="I49" s="117">
        <f>'Turbine+Duct Burner stack info'!E42</f>
        <v>13.715330691862237</v>
      </c>
      <c r="J49" s="794"/>
      <c r="K49" s="618" t="s">
        <v>669</v>
      </c>
      <c r="L49" s="394" t="s">
        <v>670</v>
      </c>
    </row>
    <row r="50" spans="1:12" ht="13.5" thickBot="1">
      <c r="A50" s="760"/>
      <c r="B50" s="823"/>
      <c r="C50" s="823"/>
      <c r="D50" s="70" t="s">
        <v>344</v>
      </c>
      <c r="E50" s="408">
        <f>E45</f>
        <v>0.05436883819833752</v>
      </c>
      <c r="F50" s="119">
        <f t="shared" si="3"/>
        <v>0.006850322588439976</v>
      </c>
      <c r="G50" s="408">
        <f>G8</f>
        <v>13.7</v>
      </c>
      <c r="H50" s="408">
        <f>H8</f>
        <v>422.0388888888889</v>
      </c>
      <c r="I50" s="408">
        <f>I8</f>
        <v>15.239256324291373</v>
      </c>
      <c r="J50" s="408">
        <f>J8</f>
        <v>0.7619628162145687</v>
      </c>
      <c r="K50" s="396" t="s">
        <v>477</v>
      </c>
      <c r="L50" s="410"/>
    </row>
    <row r="51" spans="1:12" ht="26.25" thickBot="1">
      <c r="A51" s="760"/>
      <c r="B51" s="823"/>
      <c r="C51" s="823"/>
      <c r="D51" s="620" t="s">
        <v>297</v>
      </c>
      <c r="E51" s="621">
        <f>E46</f>
        <v>0.00052585</v>
      </c>
      <c r="F51" s="619">
        <f t="shared" si="3"/>
        <v>6.625563930555555E-05</v>
      </c>
      <c r="G51" s="408">
        <f>G46</f>
        <v>10.667479427003961</v>
      </c>
      <c r="H51" s="408">
        <f>H46</f>
        <v>809.2611111111111</v>
      </c>
      <c r="I51" s="408">
        <f>I46</f>
        <v>65.23208610539527</v>
      </c>
      <c r="J51" s="408">
        <f>J46</f>
        <v>0.12699380270242813</v>
      </c>
      <c r="K51" s="608" t="s">
        <v>478</v>
      </c>
      <c r="L51" s="410"/>
    </row>
    <row r="52" spans="1:12" ht="27">
      <c r="A52" s="760"/>
      <c r="B52" s="770" t="s">
        <v>171</v>
      </c>
      <c r="C52" s="770" t="s">
        <v>472</v>
      </c>
      <c r="D52" s="210" t="s">
        <v>189</v>
      </c>
      <c r="E52" s="403">
        <f>'Annual Project Total Emissions'!E14*2000/8760</f>
        <v>3.4249600456621</v>
      </c>
      <c r="F52" s="212">
        <f>E52*453.59/3600</f>
        <v>0.43153545197551996</v>
      </c>
      <c r="G52" s="403">
        <f>G5</f>
        <v>54.86132276744895</v>
      </c>
      <c r="H52" s="403">
        <f>'Turbine Stack Data Weighted Ave'!C10</f>
        <v>355.23475192929055</v>
      </c>
      <c r="I52" s="403">
        <f>'Turbine Stack Data Weighted Ave'!D10</f>
        <v>18.103099337317584</v>
      </c>
      <c r="J52" s="403">
        <f>J5</f>
        <v>5.486132276744895</v>
      </c>
      <c r="K52" s="404" t="s">
        <v>473</v>
      </c>
      <c r="L52" s="623" t="s">
        <v>676</v>
      </c>
    </row>
    <row r="53" spans="1:12" ht="12.75">
      <c r="A53" s="760"/>
      <c r="B53" s="760"/>
      <c r="C53" s="780"/>
      <c r="D53" s="70" t="s">
        <v>344</v>
      </c>
      <c r="E53" s="411">
        <f>'Annual Project Total Emissions'!E15*2000/8760</f>
        <v>0.005585839540925088</v>
      </c>
      <c r="F53" s="119">
        <f t="shared" si="3"/>
        <v>0.000703800265935614</v>
      </c>
      <c r="G53" s="408">
        <f>G8</f>
        <v>13.7</v>
      </c>
      <c r="H53" s="408">
        <f>H8</f>
        <v>422.0388888888889</v>
      </c>
      <c r="I53" s="408">
        <f>I8</f>
        <v>15.239256324291373</v>
      </c>
      <c r="J53" s="408">
        <f>J8</f>
        <v>0.7619628162145687</v>
      </c>
      <c r="K53" s="409" t="s">
        <v>473</v>
      </c>
      <c r="L53" s="410"/>
    </row>
    <row r="54" spans="1:12" ht="26.25" thickBot="1">
      <c r="A54" s="761"/>
      <c r="B54" s="761"/>
      <c r="C54" s="781"/>
      <c r="D54" s="213" t="s">
        <v>297</v>
      </c>
      <c r="E54" s="420">
        <f>'Annual Project Total Emissions'!E16*2000/8760</f>
        <v>3.6017123287671234E-05</v>
      </c>
      <c r="F54" s="214">
        <f t="shared" si="3"/>
        <v>4.538057486681887E-06</v>
      </c>
      <c r="G54" s="215">
        <f>G51</f>
        <v>10.667479427003961</v>
      </c>
      <c r="H54" s="215">
        <f>H51</f>
        <v>809.2611111111111</v>
      </c>
      <c r="I54" s="215">
        <f>I51</f>
        <v>65.23208610539527</v>
      </c>
      <c r="J54" s="215">
        <f>J51</f>
        <v>0.12699380270242813</v>
      </c>
      <c r="K54" s="397" t="s">
        <v>473</v>
      </c>
      <c r="L54" s="381"/>
    </row>
    <row r="55" spans="1:12" ht="13.5" thickBot="1">
      <c r="A55" s="395"/>
      <c r="B55" s="109"/>
      <c r="C55" s="109"/>
      <c r="D55" s="261"/>
      <c r="E55" s="376"/>
      <c r="F55" s="377"/>
      <c r="G55" s="376"/>
      <c r="H55" s="376"/>
      <c r="I55" s="376"/>
      <c r="J55" s="376"/>
      <c r="K55" s="398"/>
      <c r="L55"/>
    </row>
    <row r="56" spans="1:12" ht="76.5" customHeight="1" thickBot="1">
      <c r="A56" s="817" t="s">
        <v>311</v>
      </c>
      <c r="B56" s="818" t="s">
        <v>650</v>
      </c>
      <c r="C56" s="762" t="s">
        <v>323</v>
      </c>
      <c r="D56" s="753" t="s">
        <v>189</v>
      </c>
      <c r="E56" s="622">
        <f>'Turbine and Duct Burner Hourly'!C75</f>
        <v>8.5</v>
      </c>
      <c r="F56" s="212">
        <f aca="true" t="shared" si="4" ref="F56:F69">E56*453.59/3600</f>
        <v>1.0709763888888888</v>
      </c>
      <c r="G56" s="757">
        <f>G5</f>
        <v>54.86132276744895</v>
      </c>
      <c r="H56" s="390">
        <f>'Turbine+Duct Burner stack info'!C21</f>
        <v>352.7055555555555</v>
      </c>
      <c r="I56" s="390">
        <f>'Turbine+Duct Burner stack info'!C39</f>
        <v>21.334958854007922</v>
      </c>
      <c r="J56" s="782">
        <f>J5</f>
        <v>5.486132276744895</v>
      </c>
      <c r="K56" s="610" t="s">
        <v>652</v>
      </c>
      <c r="L56" s="610" t="s">
        <v>652</v>
      </c>
    </row>
    <row r="57" spans="1:12" ht="78.75" customHeight="1" thickBot="1">
      <c r="A57" s="817"/>
      <c r="B57" s="817"/>
      <c r="C57" s="767"/>
      <c r="D57" s="754"/>
      <c r="E57" s="217">
        <f>'Turbine and Duct Burner Hourly'!D75</f>
        <v>8.5</v>
      </c>
      <c r="F57" s="119">
        <f t="shared" si="4"/>
        <v>1.0709763888888888</v>
      </c>
      <c r="G57" s="758"/>
      <c r="H57" s="392">
        <f>'Turbine+Duct Burner stack info'!D21</f>
        <v>352.8722222222222</v>
      </c>
      <c r="I57" s="392">
        <f>'Turbine+Duct Burner stack info'!D39</f>
        <v>19.811033221578786</v>
      </c>
      <c r="J57" s="783"/>
      <c r="K57" s="612" t="s">
        <v>672</v>
      </c>
      <c r="L57" s="612" t="s">
        <v>672</v>
      </c>
    </row>
    <row r="58" spans="1:12" ht="83.25" customHeight="1" thickBot="1">
      <c r="A58" s="817"/>
      <c r="B58" s="817"/>
      <c r="C58" s="767"/>
      <c r="D58" s="767"/>
      <c r="E58" s="217">
        <f>'Turbine and Duct Burner Hourly'!E75</f>
        <v>8.5</v>
      </c>
      <c r="F58" s="119">
        <f t="shared" si="4"/>
        <v>1.0709763888888888</v>
      </c>
      <c r="G58" s="785"/>
      <c r="H58" s="392">
        <f>'Turbine+Duct Burner stack info'!E21</f>
        <v>353.76111111111106</v>
      </c>
      <c r="I58" s="392">
        <f>'Turbine+Duct Burner stack info'!E39</f>
        <v>18.896677842121303</v>
      </c>
      <c r="J58" s="784"/>
      <c r="K58" s="612" t="s">
        <v>671</v>
      </c>
      <c r="L58" s="612" t="s">
        <v>671</v>
      </c>
    </row>
    <row r="59" spans="1:12" ht="13.5" thickBot="1">
      <c r="A59" s="817"/>
      <c r="B59" s="817"/>
      <c r="C59" s="648"/>
      <c r="D59" s="70" t="s">
        <v>344</v>
      </c>
      <c r="E59" s="217">
        <f>'Aux Boiler Emissions'!F32*12/24</f>
        <v>0.17500000000000002</v>
      </c>
      <c r="F59" s="119">
        <f t="shared" si="4"/>
        <v>0.022049513888888893</v>
      </c>
      <c r="G59" s="117">
        <f>G8</f>
        <v>13.7</v>
      </c>
      <c r="H59" s="117">
        <f>H8</f>
        <v>422.0388888888889</v>
      </c>
      <c r="I59" s="117">
        <f>I8</f>
        <v>15.239256324291373</v>
      </c>
      <c r="J59" s="117">
        <f>J8</f>
        <v>0.7619628162145687</v>
      </c>
      <c r="K59" s="396" t="s">
        <v>477</v>
      </c>
      <c r="L59" s="380"/>
    </row>
    <row r="60" spans="1:12" ht="26.25" thickBot="1">
      <c r="A60" s="817"/>
      <c r="B60" s="817"/>
      <c r="C60" s="648"/>
      <c r="D60" s="70" t="s">
        <v>297</v>
      </c>
      <c r="E60" s="217">
        <f>'Emergency Fire Pump Emissions'!F35*4/24</f>
        <v>0.01127302924079749</v>
      </c>
      <c r="F60" s="119">
        <f t="shared" si="4"/>
        <v>0.0014203703703703704</v>
      </c>
      <c r="G60" s="117">
        <f>G54</f>
        <v>10.667479427003961</v>
      </c>
      <c r="H60" s="117">
        <f>H54</f>
        <v>809.2611111111111</v>
      </c>
      <c r="I60" s="117">
        <f>I54</f>
        <v>65.23208610539527</v>
      </c>
      <c r="J60" s="117">
        <f>J54</f>
        <v>0.12699380270242813</v>
      </c>
      <c r="K60" s="396" t="s">
        <v>478</v>
      </c>
      <c r="L60" s="380"/>
    </row>
    <row r="61" spans="1:12" ht="15" thickBot="1">
      <c r="A61" s="817"/>
      <c r="B61" s="817"/>
      <c r="C61" s="772"/>
      <c r="D61" s="213" t="s">
        <v>401</v>
      </c>
      <c r="E61" s="218">
        <f>'Cooling Tower'!C35/9</f>
        <v>0.09704064778212014</v>
      </c>
      <c r="F61" s="214">
        <f t="shared" si="4"/>
        <v>0.012226852063192187</v>
      </c>
      <c r="G61" s="215">
        <f>'Cooling Tower'!$B$5</f>
        <v>14</v>
      </c>
      <c r="H61" s="215">
        <f>'Cooling Tower'!$B$8</f>
        <v>294.26111111111106</v>
      </c>
      <c r="I61" s="215">
        <f>'Cooling Tower'!$B$11</f>
        <v>8.594036387101305</v>
      </c>
      <c r="J61" s="215">
        <f>'Cooling Tower'!$B$13</f>
        <v>10</v>
      </c>
      <c r="K61" s="397" t="s">
        <v>479</v>
      </c>
      <c r="L61" s="382"/>
    </row>
    <row r="62" spans="1:12" ht="83.25" customHeight="1" thickBot="1">
      <c r="A62" s="818" t="s">
        <v>693</v>
      </c>
      <c r="B62" s="818" t="s">
        <v>673</v>
      </c>
      <c r="C62" s="762" t="s">
        <v>323</v>
      </c>
      <c r="D62" s="817" t="s">
        <v>189</v>
      </c>
      <c r="E62" s="631">
        <f>'Turbine and Duct Burner Hourly'!C78</f>
        <v>6.5</v>
      </c>
      <c r="F62" s="212">
        <f t="shared" si="4"/>
        <v>0.8189819444444445</v>
      </c>
      <c r="G62" s="816">
        <f>G5</f>
        <v>54.86132276744895</v>
      </c>
      <c r="H62" s="390">
        <f>'Turbine+Duct Burner stack info'!C24</f>
        <v>356.09444444444443</v>
      </c>
      <c r="I62" s="390">
        <f>'Turbine+Duct Burner stack info'!C42</f>
        <v>15.239256324291373</v>
      </c>
      <c r="J62" s="816">
        <f>J5</f>
        <v>5.486132276744895</v>
      </c>
      <c r="K62" s="610" t="s">
        <v>667</v>
      </c>
      <c r="L62" s="432" t="s">
        <v>667</v>
      </c>
    </row>
    <row r="63" spans="1:12" ht="83.25" customHeight="1" thickBot="1">
      <c r="A63" s="817"/>
      <c r="B63" s="817"/>
      <c r="C63" s="767"/>
      <c r="D63" s="817"/>
      <c r="E63" s="217">
        <f>'Turbine and Duct Burner Hourly'!D78</f>
        <v>6.5</v>
      </c>
      <c r="F63" s="119">
        <f t="shared" si="4"/>
        <v>0.8189819444444445</v>
      </c>
      <c r="G63" s="816"/>
      <c r="H63" s="392">
        <f>'Turbine+Duct Burner stack info'!D24</f>
        <v>355.31666666666666</v>
      </c>
      <c r="I63" s="392">
        <f>'Turbine+Duct Burner stack info'!D42</f>
        <v>13.10576043889058</v>
      </c>
      <c r="J63" s="816"/>
      <c r="K63" s="618" t="s">
        <v>668</v>
      </c>
      <c r="L63" s="394" t="s">
        <v>668</v>
      </c>
    </row>
    <row r="64" spans="1:12" ht="83.25" customHeight="1" thickBot="1">
      <c r="A64" s="817"/>
      <c r="B64" s="817"/>
      <c r="C64" s="767"/>
      <c r="D64" s="762"/>
      <c r="E64" s="217">
        <f>'Turbine and Duct Burner Hourly'!E78</f>
        <v>6.5</v>
      </c>
      <c r="F64" s="119">
        <f t="shared" si="4"/>
        <v>0.8189819444444445</v>
      </c>
      <c r="G64" s="794"/>
      <c r="H64" s="392">
        <f>'Turbine+Duct Burner stack info'!E24</f>
        <v>358.2055555555555</v>
      </c>
      <c r="I64" s="392">
        <f>'Turbine+Duct Burner stack info'!E42</f>
        <v>13.715330691862237</v>
      </c>
      <c r="J64" s="794"/>
      <c r="K64" s="618" t="s">
        <v>669</v>
      </c>
      <c r="L64" s="394" t="s">
        <v>670</v>
      </c>
    </row>
    <row r="65" spans="1:12" ht="13.5" thickBot="1">
      <c r="A65" s="817"/>
      <c r="B65" s="817"/>
      <c r="C65" s="648"/>
      <c r="D65" s="70" t="s">
        <v>344</v>
      </c>
      <c r="E65" s="217">
        <f>E59</f>
        <v>0.17500000000000002</v>
      </c>
      <c r="F65" s="119">
        <f t="shared" si="4"/>
        <v>0.022049513888888893</v>
      </c>
      <c r="G65" s="117">
        <f>G8</f>
        <v>13.7</v>
      </c>
      <c r="H65" s="117">
        <f>H8</f>
        <v>422.0388888888889</v>
      </c>
      <c r="I65" s="117">
        <f>I8</f>
        <v>15.239256324291373</v>
      </c>
      <c r="J65" s="117">
        <f>J8</f>
        <v>0.7619628162145687</v>
      </c>
      <c r="K65" s="396" t="s">
        <v>477</v>
      </c>
      <c r="L65" s="383"/>
    </row>
    <row r="66" spans="1:12" ht="26.25" thickBot="1">
      <c r="A66" s="817"/>
      <c r="B66" s="817"/>
      <c r="C66" s="648"/>
      <c r="D66" s="70" t="s">
        <v>297</v>
      </c>
      <c r="E66" s="217">
        <f>E60</f>
        <v>0.01127302924079749</v>
      </c>
      <c r="F66" s="119">
        <f t="shared" si="4"/>
        <v>0.0014203703703703704</v>
      </c>
      <c r="G66" s="117">
        <f aca="true" t="shared" si="5" ref="G66:J67">G60</f>
        <v>10.667479427003961</v>
      </c>
      <c r="H66" s="117">
        <f t="shared" si="5"/>
        <v>809.2611111111111</v>
      </c>
      <c r="I66" s="117">
        <f t="shared" si="5"/>
        <v>65.23208610539527</v>
      </c>
      <c r="J66" s="117">
        <f t="shared" si="5"/>
        <v>0.12699380270242813</v>
      </c>
      <c r="K66" s="396" t="s">
        <v>478</v>
      </c>
      <c r="L66" s="383"/>
    </row>
    <row r="67" spans="1:12" ht="15" thickBot="1">
      <c r="A67" s="817"/>
      <c r="B67" s="817"/>
      <c r="C67" s="772"/>
      <c r="D67" s="213" t="s">
        <v>401</v>
      </c>
      <c r="E67" s="218">
        <f>E61</f>
        <v>0.09704064778212014</v>
      </c>
      <c r="F67" s="214">
        <f t="shared" si="4"/>
        <v>0.012226852063192187</v>
      </c>
      <c r="G67" s="215">
        <f t="shared" si="5"/>
        <v>14</v>
      </c>
      <c r="H67" s="215">
        <f t="shared" si="5"/>
        <v>294.26111111111106</v>
      </c>
      <c r="I67" s="215">
        <f t="shared" si="5"/>
        <v>8.594036387101305</v>
      </c>
      <c r="J67" s="215">
        <f t="shared" si="5"/>
        <v>10</v>
      </c>
      <c r="K67" s="397" t="s">
        <v>479</v>
      </c>
      <c r="L67" s="382"/>
    </row>
    <row r="68" spans="1:12" ht="27.75" thickBot="1">
      <c r="A68" s="817"/>
      <c r="B68" s="762" t="s">
        <v>171</v>
      </c>
      <c r="C68" s="762" t="s">
        <v>323</v>
      </c>
      <c r="D68" s="210" t="s">
        <v>189</v>
      </c>
      <c r="E68" s="232">
        <f>'Annual Project Total Emissions'!G14*2000/8760</f>
        <v>7.139383561643836</v>
      </c>
      <c r="F68" s="119">
        <f>E68*453.59/3600</f>
        <v>0.8995424971461187</v>
      </c>
      <c r="G68" s="211">
        <f>G5</f>
        <v>54.86132276744895</v>
      </c>
      <c r="H68" s="232">
        <f>'Turbine Stack Data Weighted Ave'!C10</f>
        <v>355.23475192929055</v>
      </c>
      <c r="I68" s="232">
        <f>'Turbine Stack Data Weighted Ave'!D10</f>
        <v>18.103099337317584</v>
      </c>
      <c r="J68" s="211">
        <f>J5</f>
        <v>5.486132276744895</v>
      </c>
      <c r="K68" s="219" t="s">
        <v>300</v>
      </c>
      <c r="L68" s="618" t="s">
        <v>677</v>
      </c>
    </row>
    <row r="69" spans="1:12" ht="13.5" thickBot="1">
      <c r="A69" s="817"/>
      <c r="B69" s="648"/>
      <c r="C69" s="648"/>
      <c r="D69" s="70" t="s">
        <v>344</v>
      </c>
      <c r="E69" s="117">
        <f>'Annual Project Total Emissions'!G15*2000/8760</f>
        <v>0.017979452054794523</v>
      </c>
      <c r="F69" s="119">
        <f t="shared" si="4"/>
        <v>0.002265361015981735</v>
      </c>
      <c r="G69" s="117">
        <f>G8</f>
        <v>13.7</v>
      </c>
      <c r="H69" s="117">
        <f>H8</f>
        <v>422.0388888888889</v>
      </c>
      <c r="I69" s="117">
        <f>I8</f>
        <v>15.239256324291373</v>
      </c>
      <c r="J69" s="117">
        <f>J8</f>
        <v>0.7619628162145687</v>
      </c>
      <c r="K69" s="70" t="s">
        <v>300</v>
      </c>
      <c r="L69" s="380"/>
    </row>
    <row r="70" spans="1:12" ht="26.25" thickBot="1">
      <c r="A70" s="817"/>
      <c r="B70" s="648"/>
      <c r="C70" s="648"/>
      <c r="D70" s="70" t="s">
        <v>297</v>
      </c>
      <c r="E70" s="295">
        <f>'Annual Project Total Emissions'!G16*2000/8760</f>
        <v>0.0007721252904655815</v>
      </c>
      <c r="F70" s="119">
        <f>E70*453.59/3600</f>
        <v>9.728564180618975E-05</v>
      </c>
      <c r="G70" s="117">
        <f>G66</f>
        <v>10.667479427003961</v>
      </c>
      <c r="H70" s="117">
        <f>H66</f>
        <v>809.2611111111111</v>
      </c>
      <c r="I70" s="117">
        <f>I66</f>
        <v>65.23208610539527</v>
      </c>
      <c r="J70" s="117">
        <f>J66</f>
        <v>0.12699380270242813</v>
      </c>
      <c r="K70" s="70" t="s">
        <v>300</v>
      </c>
      <c r="L70" s="380"/>
    </row>
    <row r="71" spans="1:12" ht="15" thickBot="1">
      <c r="A71" s="817"/>
      <c r="B71" s="772"/>
      <c r="C71" s="772"/>
      <c r="D71" s="213" t="s">
        <v>401</v>
      </c>
      <c r="E71" s="215">
        <f>('Annual Project Total Emissions'!G17*2000/8760)/9</f>
        <v>0.09704064778212014</v>
      </c>
      <c r="F71" s="214">
        <f>E71*453.59/3600</f>
        <v>0.012226852063192187</v>
      </c>
      <c r="G71" s="215">
        <f>G61</f>
        <v>14</v>
      </c>
      <c r="H71" s="215">
        <f>H61</f>
        <v>294.26111111111106</v>
      </c>
      <c r="I71" s="215">
        <f>I61</f>
        <v>8.594036387101305</v>
      </c>
      <c r="J71" s="215">
        <f>J61</f>
        <v>10</v>
      </c>
      <c r="K71" s="213" t="s">
        <v>300</v>
      </c>
      <c r="L71" s="381"/>
    </row>
    <row r="72" spans="1:12" ht="13.5" thickBot="1">
      <c r="A72" s="261"/>
      <c r="B72" s="261"/>
      <c r="C72" s="261"/>
      <c r="D72" s="261"/>
      <c r="E72" s="376"/>
      <c r="F72" s="377"/>
      <c r="G72" s="376"/>
      <c r="H72" s="376"/>
      <c r="I72" s="376"/>
      <c r="J72" s="376"/>
      <c r="K72" s="261"/>
      <c r="L72" s="109"/>
    </row>
    <row r="73" spans="1:12" ht="79.5" customHeight="1" thickBot="1">
      <c r="A73" s="753" t="s">
        <v>417</v>
      </c>
      <c r="B73" s="818" t="s">
        <v>650</v>
      </c>
      <c r="C73" s="762" t="s">
        <v>323</v>
      </c>
      <c r="D73" s="753" t="s">
        <v>189</v>
      </c>
      <c r="E73" s="631">
        <f>'Turbine and Duct Burner Hourly'!C75</f>
        <v>8.5</v>
      </c>
      <c r="F73" s="212">
        <f aca="true" t="shared" si="6" ref="F73:F88">E73*453.59/3600</f>
        <v>1.0709763888888888</v>
      </c>
      <c r="G73" s="795">
        <f>G56</f>
        <v>54.86132276744895</v>
      </c>
      <c r="H73" s="390">
        <f>'Turbine+Duct Burner stack info'!C21</f>
        <v>352.7055555555555</v>
      </c>
      <c r="I73" s="606">
        <f>'Turbine+Duct Burner stack info'!C39</f>
        <v>21.334958854007922</v>
      </c>
      <c r="J73" s="757">
        <f>J56</f>
        <v>5.486132276744895</v>
      </c>
      <c r="K73" s="610" t="s">
        <v>652</v>
      </c>
      <c r="L73" s="610" t="s">
        <v>652</v>
      </c>
    </row>
    <row r="74" spans="1:12" ht="79.5" customHeight="1" thickBot="1">
      <c r="A74" s="754"/>
      <c r="B74" s="817"/>
      <c r="C74" s="767"/>
      <c r="D74" s="754"/>
      <c r="E74" s="217">
        <f>'Turbine and Duct Burner Hourly'!D75</f>
        <v>8.5</v>
      </c>
      <c r="F74" s="119">
        <f t="shared" si="6"/>
        <v>1.0709763888888888</v>
      </c>
      <c r="G74" s="796"/>
      <c r="H74" s="392">
        <f>'Turbine+Duct Burner stack info'!D21</f>
        <v>352.8722222222222</v>
      </c>
      <c r="I74" s="609">
        <f>'Turbine+Duct Burner stack info'!D39</f>
        <v>19.811033221578786</v>
      </c>
      <c r="J74" s="758"/>
      <c r="K74" s="612" t="s">
        <v>672</v>
      </c>
      <c r="L74" s="612" t="s">
        <v>672</v>
      </c>
    </row>
    <row r="75" spans="1:12" ht="79.5" customHeight="1" thickBot="1">
      <c r="A75" s="754"/>
      <c r="B75" s="817"/>
      <c r="C75" s="767"/>
      <c r="D75" s="767"/>
      <c r="E75" s="217">
        <f>'Turbine and Duct Burner Hourly'!E75</f>
        <v>8.5</v>
      </c>
      <c r="F75" s="119">
        <f t="shared" si="6"/>
        <v>1.0709763888888888</v>
      </c>
      <c r="G75" s="797"/>
      <c r="H75" s="392">
        <f>'Turbine+Duct Burner stack info'!E21</f>
        <v>353.76111111111106</v>
      </c>
      <c r="I75" s="392">
        <f>'Turbine+Duct Burner stack info'!E39</f>
        <v>18.896677842121303</v>
      </c>
      <c r="J75" s="785"/>
      <c r="K75" s="612" t="s">
        <v>671</v>
      </c>
      <c r="L75" s="612" t="s">
        <v>671</v>
      </c>
    </row>
    <row r="76" spans="1:12" ht="13.5" thickBot="1">
      <c r="A76" s="754"/>
      <c r="B76" s="817"/>
      <c r="C76" s="648"/>
      <c r="D76" s="70" t="s">
        <v>344</v>
      </c>
      <c r="E76" s="217">
        <f>'Aux Boiler Emissions'!F32*12/24</f>
        <v>0.17500000000000002</v>
      </c>
      <c r="F76" s="119">
        <f t="shared" si="6"/>
        <v>0.022049513888888893</v>
      </c>
      <c r="G76" s="217">
        <f>G59</f>
        <v>13.7</v>
      </c>
      <c r="H76" s="217">
        <f>H59</f>
        <v>422.0388888888889</v>
      </c>
      <c r="I76" s="217">
        <f>I59</f>
        <v>15.239256324291373</v>
      </c>
      <c r="J76" s="217">
        <f>J59</f>
        <v>0.7619628162145687</v>
      </c>
      <c r="K76" s="70" t="s">
        <v>432</v>
      </c>
      <c r="L76" s="380"/>
    </row>
    <row r="77" spans="1:12" ht="26.25" thickBot="1">
      <c r="A77" s="754"/>
      <c r="B77" s="817"/>
      <c r="C77" s="648"/>
      <c r="D77" s="70" t="s">
        <v>297</v>
      </c>
      <c r="E77" s="217">
        <f>'Emergency Fire Pump Emissions'!F35*4/24</f>
        <v>0.01127302924079749</v>
      </c>
      <c r="F77" s="119">
        <f t="shared" si="6"/>
        <v>0.0014203703703703704</v>
      </c>
      <c r="G77" s="217">
        <f aca="true" t="shared" si="7" ref="G77:J78">G70</f>
        <v>10.667479427003961</v>
      </c>
      <c r="H77" s="217">
        <f t="shared" si="7"/>
        <v>809.2611111111111</v>
      </c>
      <c r="I77" s="217">
        <f t="shared" si="7"/>
        <v>65.23208610539527</v>
      </c>
      <c r="J77" s="217">
        <f t="shared" si="7"/>
        <v>0.12699380270242813</v>
      </c>
      <c r="K77" s="70" t="s">
        <v>387</v>
      </c>
      <c r="L77" s="380"/>
    </row>
    <row r="78" spans="1:12" ht="15" thickBot="1">
      <c r="A78" s="755"/>
      <c r="B78" s="817"/>
      <c r="C78" s="772"/>
      <c r="D78" s="213" t="s">
        <v>401</v>
      </c>
      <c r="E78" s="218">
        <f>'Cooling Tower'!C36/9</f>
        <v>0.04624598554208318</v>
      </c>
      <c r="F78" s="214">
        <f t="shared" si="6"/>
        <v>0.00582686571723153</v>
      </c>
      <c r="G78" s="215">
        <f t="shared" si="7"/>
        <v>14</v>
      </c>
      <c r="H78" s="215">
        <f t="shared" si="7"/>
        <v>294.26111111111106</v>
      </c>
      <c r="I78" s="215">
        <f t="shared" si="7"/>
        <v>8.594036387101305</v>
      </c>
      <c r="J78" s="215">
        <f t="shared" si="7"/>
        <v>10</v>
      </c>
      <c r="K78" s="213" t="s">
        <v>29</v>
      </c>
      <c r="L78" s="382"/>
    </row>
    <row r="79" spans="1:12" ht="74.25" customHeight="1" thickBot="1">
      <c r="A79" s="756" t="s">
        <v>694</v>
      </c>
      <c r="B79" s="818" t="s">
        <v>651</v>
      </c>
      <c r="C79" s="762" t="s">
        <v>323</v>
      </c>
      <c r="D79" s="817" t="s">
        <v>189</v>
      </c>
      <c r="E79" s="631">
        <f>'Turbine and Duct Burner Hourly'!C78</f>
        <v>6.5</v>
      </c>
      <c r="F79" s="212">
        <f>E79*453.59/3600</f>
        <v>0.8189819444444445</v>
      </c>
      <c r="G79" s="816">
        <f>G62</f>
        <v>54.86132276744895</v>
      </c>
      <c r="H79" s="390">
        <f>'Turbine+Duct Burner stack info'!C24</f>
        <v>356.09444444444443</v>
      </c>
      <c r="I79" s="390">
        <f>'Turbine+Duct Burner stack info'!C42</f>
        <v>15.239256324291373</v>
      </c>
      <c r="J79" s="816">
        <f>J62</f>
        <v>5.486132276744895</v>
      </c>
      <c r="K79" s="610" t="s">
        <v>667</v>
      </c>
      <c r="L79" s="432" t="s">
        <v>667</v>
      </c>
    </row>
    <row r="80" spans="1:12" ht="84.75" customHeight="1" thickBot="1">
      <c r="A80" s="754"/>
      <c r="B80" s="817"/>
      <c r="C80" s="767"/>
      <c r="D80" s="817"/>
      <c r="E80" s="217">
        <f>'Turbine and Duct Burner Hourly'!D78</f>
        <v>6.5</v>
      </c>
      <c r="F80" s="119">
        <f t="shared" si="6"/>
        <v>0.8189819444444445</v>
      </c>
      <c r="G80" s="816"/>
      <c r="H80" s="392">
        <f>'Turbine+Duct Burner stack info'!D24</f>
        <v>355.31666666666666</v>
      </c>
      <c r="I80" s="392">
        <f>'Turbine+Duct Burner stack info'!D42</f>
        <v>13.10576043889058</v>
      </c>
      <c r="J80" s="816"/>
      <c r="K80" s="618" t="s">
        <v>668</v>
      </c>
      <c r="L80" s="394" t="s">
        <v>668</v>
      </c>
    </row>
    <row r="81" spans="1:12" ht="74.25" customHeight="1" thickBot="1">
      <c r="A81" s="754"/>
      <c r="B81" s="817"/>
      <c r="C81" s="767"/>
      <c r="D81" s="762"/>
      <c r="E81" s="217">
        <f>'Turbine and Duct Burner Hourly'!E78</f>
        <v>6.5</v>
      </c>
      <c r="F81" s="119">
        <f t="shared" si="6"/>
        <v>0.8189819444444445</v>
      </c>
      <c r="G81" s="794"/>
      <c r="H81" s="392">
        <f>'Turbine+Duct Burner stack info'!E24</f>
        <v>358.2055555555555</v>
      </c>
      <c r="I81" s="392">
        <f>'Turbine+Duct Burner stack info'!E42</f>
        <v>13.715330691862237</v>
      </c>
      <c r="J81" s="794"/>
      <c r="K81" s="618" t="s">
        <v>669</v>
      </c>
      <c r="L81" s="394" t="s">
        <v>670</v>
      </c>
    </row>
    <row r="82" spans="1:12" ht="13.5" thickBot="1">
      <c r="A82" s="754"/>
      <c r="B82" s="817"/>
      <c r="C82" s="648"/>
      <c r="D82" s="70" t="s">
        <v>344</v>
      </c>
      <c r="E82" s="217">
        <f>E76</f>
        <v>0.17500000000000002</v>
      </c>
      <c r="F82" s="119">
        <f t="shared" si="6"/>
        <v>0.022049513888888893</v>
      </c>
      <c r="G82" s="117">
        <f aca="true" t="shared" si="8" ref="G82:J84">G65</f>
        <v>13.7</v>
      </c>
      <c r="H82" s="117">
        <f t="shared" si="8"/>
        <v>422.0388888888889</v>
      </c>
      <c r="I82" s="117">
        <f t="shared" si="8"/>
        <v>15.239256324291373</v>
      </c>
      <c r="J82" s="117">
        <f t="shared" si="8"/>
        <v>0.7619628162145687</v>
      </c>
      <c r="K82" s="70" t="s">
        <v>432</v>
      </c>
      <c r="L82" s="383"/>
    </row>
    <row r="83" spans="1:12" ht="26.25" thickBot="1">
      <c r="A83" s="754"/>
      <c r="B83" s="817"/>
      <c r="C83" s="648"/>
      <c r="D83" s="70" t="s">
        <v>297</v>
      </c>
      <c r="E83" s="217">
        <f>E77</f>
        <v>0.01127302924079749</v>
      </c>
      <c r="F83" s="119">
        <f t="shared" si="6"/>
        <v>0.0014203703703703704</v>
      </c>
      <c r="G83" s="117">
        <f t="shared" si="8"/>
        <v>10.667479427003961</v>
      </c>
      <c r="H83" s="117">
        <f t="shared" si="8"/>
        <v>809.2611111111111</v>
      </c>
      <c r="I83" s="117">
        <f t="shared" si="8"/>
        <v>65.23208610539527</v>
      </c>
      <c r="J83" s="117">
        <f t="shared" si="8"/>
        <v>0.12699380270242813</v>
      </c>
      <c r="K83" s="70" t="s">
        <v>387</v>
      </c>
      <c r="L83" s="383"/>
    </row>
    <row r="84" spans="1:12" ht="15" thickBot="1">
      <c r="A84" s="754"/>
      <c r="B84" s="817"/>
      <c r="C84" s="772"/>
      <c r="D84" s="213" t="s">
        <v>401</v>
      </c>
      <c r="E84" s="218">
        <f>E78</f>
        <v>0.04624598554208318</v>
      </c>
      <c r="F84" s="214">
        <f t="shared" si="6"/>
        <v>0.00582686571723153</v>
      </c>
      <c r="G84" s="215">
        <f t="shared" si="8"/>
        <v>14</v>
      </c>
      <c r="H84" s="215">
        <f t="shared" si="8"/>
        <v>294.26111111111106</v>
      </c>
      <c r="I84" s="215">
        <f t="shared" si="8"/>
        <v>8.594036387101305</v>
      </c>
      <c r="J84" s="215">
        <f t="shared" si="8"/>
        <v>10</v>
      </c>
      <c r="K84" s="213" t="s">
        <v>29</v>
      </c>
      <c r="L84" s="382"/>
    </row>
    <row r="85" spans="1:12" ht="39.75" customHeight="1">
      <c r="A85" s="754"/>
      <c r="B85" s="762" t="s">
        <v>171</v>
      </c>
      <c r="C85" s="762" t="s">
        <v>323</v>
      </c>
      <c r="D85" s="210" t="s">
        <v>189</v>
      </c>
      <c r="E85" s="232">
        <f>'Annual Project Total Emissions'!H14*2000/8760</f>
        <v>7.139383561643836</v>
      </c>
      <c r="F85" s="119">
        <f t="shared" si="6"/>
        <v>0.8995424971461187</v>
      </c>
      <c r="G85" s="211">
        <f>G68</f>
        <v>54.86132276744895</v>
      </c>
      <c r="H85" s="211">
        <f>'Turbine Stack Data Weighted Ave'!C10</f>
        <v>355.23475192929055</v>
      </c>
      <c r="I85" s="211">
        <f>'Turbine Stack Data Weighted Ave'!D10</f>
        <v>18.103099337317584</v>
      </c>
      <c r="J85" s="211">
        <f>J68</f>
        <v>5.486132276744895</v>
      </c>
      <c r="K85" s="219" t="s">
        <v>300</v>
      </c>
      <c r="L85" s="618" t="s">
        <v>674</v>
      </c>
    </row>
    <row r="86" spans="1:12" ht="12.75">
      <c r="A86" s="754"/>
      <c r="B86" s="648"/>
      <c r="C86" s="648"/>
      <c r="D86" s="70" t="s">
        <v>344</v>
      </c>
      <c r="E86" s="232">
        <f>E69</f>
        <v>0.017979452054794523</v>
      </c>
      <c r="F86" s="119">
        <f t="shared" si="6"/>
        <v>0.002265361015981735</v>
      </c>
      <c r="G86" s="117">
        <f>G69</f>
        <v>13.7</v>
      </c>
      <c r="H86" s="117">
        <f aca="true" t="shared" si="9" ref="H86:I88">H69</f>
        <v>422.0388888888889</v>
      </c>
      <c r="I86" s="117">
        <f t="shared" si="9"/>
        <v>15.239256324291373</v>
      </c>
      <c r="J86" s="117">
        <f>J69</f>
        <v>0.7619628162145687</v>
      </c>
      <c r="K86" s="70" t="s">
        <v>300</v>
      </c>
      <c r="L86" s="380"/>
    </row>
    <row r="87" spans="1:12" ht="25.5">
      <c r="A87" s="754"/>
      <c r="B87" s="648"/>
      <c r="C87" s="648"/>
      <c r="D87" s="70" t="s">
        <v>297</v>
      </c>
      <c r="E87" s="378">
        <f>E70</f>
        <v>0.0007721252904655815</v>
      </c>
      <c r="F87" s="119">
        <f t="shared" si="6"/>
        <v>9.728564180618975E-05</v>
      </c>
      <c r="G87" s="117">
        <f>G70</f>
        <v>10.667479427003961</v>
      </c>
      <c r="H87" s="117">
        <f t="shared" si="9"/>
        <v>809.2611111111111</v>
      </c>
      <c r="I87" s="117">
        <f t="shared" si="9"/>
        <v>65.23208610539527</v>
      </c>
      <c r="J87" s="117">
        <f>J70</f>
        <v>0.12699380270242813</v>
      </c>
      <c r="K87" s="70" t="s">
        <v>300</v>
      </c>
      <c r="L87" s="380"/>
    </row>
    <row r="88" spans="1:12" ht="15" thickBot="1">
      <c r="A88" s="755"/>
      <c r="B88" s="772"/>
      <c r="C88" s="772"/>
      <c r="D88" s="613" t="s">
        <v>401</v>
      </c>
      <c r="E88" s="412">
        <f>('Annual Project Total Emissions'!H17*2000/8760)/9</f>
        <v>0.04624598554208318</v>
      </c>
      <c r="F88" s="214">
        <f t="shared" si="6"/>
        <v>0.00582686571723153</v>
      </c>
      <c r="G88" s="215">
        <f>G71</f>
        <v>14</v>
      </c>
      <c r="H88" s="215">
        <f t="shared" si="9"/>
        <v>294.26111111111106</v>
      </c>
      <c r="I88" s="215">
        <f t="shared" si="9"/>
        <v>8.594036387101305</v>
      </c>
      <c r="J88" s="215">
        <f>J71</f>
        <v>10</v>
      </c>
      <c r="K88" s="213" t="s">
        <v>300</v>
      </c>
      <c r="L88" s="381"/>
    </row>
    <row r="89" spans="1:12" ht="79.5" customHeight="1">
      <c r="A89" s="773" t="s">
        <v>170</v>
      </c>
      <c r="B89" s="789" t="s">
        <v>173</v>
      </c>
      <c r="C89" s="789" t="s">
        <v>302</v>
      </c>
      <c r="D89" s="312" t="s">
        <v>189</v>
      </c>
      <c r="E89" s="313">
        <f>'24-hour Crit Emissions Summary'!$B$39</f>
        <v>22.002499999999998</v>
      </c>
      <c r="F89" s="314">
        <f aca="true" t="shared" si="10" ref="F89:F98">E89*453.59/3600</f>
        <v>2.7722538819444438</v>
      </c>
      <c r="G89" s="313">
        <f>G5</f>
        <v>54.86132276744895</v>
      </c>
      <c r="H89" s="313">
        <f>'Turbine Stack Data Weighted Ave'!D21</f>
        <v>355.3618055555555</v>
      </c>
      <c r="I89" s="313">
        <f>'Turbine Stack Data Weighted Ave'!E21</f>
        <v>13.282916793660467</v>
      </c>
      <c r="J89" s="313">
        <f>J5</f>
        <v>5.486132276744895</v>
      </c>
      <c r="K89" s="617" t="s">
        <v>684</v>
      </c>
      <c r="L89" s="512" t="s">
        <v>678</v>
      </c>
    </row>
    <row r="90" spans="1:12" ht="12.75">
      <c r="A90" s="774"/>
      <c r="B90" s="790"/>
      <c r="C90" s="790"/>
      <c r="D90" s="315" t="s">
        <v>344</v>
      </c>
      <c r="E90" s="316">
        <f>'24-hour Crit Emissions Summary'!B40</f>
        <v>0.27499999999999997</v>
      </c>
      <c r="F90" s="317">
        <f t="shared" si="10"/>
        <v>0.034649236111111106</v>
      </c>
      <c r="G90" s="316">
        <f>G8</f>
        <v>13.7</v>
      </c>
      <c r="H90" s="316">
        <f>H8</f>
        <v>422.0388888888889</v>
      </c>
      <c r="I90" s="316">
        <f>I8</f>
        <v>15.239256324291373</v>
      </c>
      <c r="J90" s="316">
        <f>J8</f>
        <v>0.7619628162145687</v>
      </c>
      <c r="K90" s="70" t="s">
        <v>432</v>
      </c>
      <c r="L90" s="380"/>
    </row>
    <row r="91" spans="1:12" ht="26.25" thickBot="1">
      <c r="A91" s="775"/>
      <c r="B91" s="790"/>
      <c r="C91" s="790"/>
      <c r="D91" s="318" t="s">
        <v>297</v>
      </c>
      <c r="E91" s="322">
        <f>'24-hour Crit Emissions Summary'!B41</f>
        <v>0.2101751214385973</v>
      </c>
      <c r="F91" s="320">
        <f t="shared" si="10"/>
        <v>0.026481481481481484</v>
      </c>
      <c r="G91" s="322">
        <f>G21</f>
        <v>10.667479427003961</v>
      </c>
      <c r="H91" s="319">
        <f>H21</f>
        <v>809.2611111111111</v>
      </c>
      <c r="I91" s="319">
        <f>I21</f>
        <v>65.23208610539527</v>
      </c>
      <c r="J91" s="322">
        <f>J21</f>
        <v>0.12699380270242813</v>
      </c>
      <c r="K91" s="318" t="s">
        <v>387</v>
      </c>
      <c r="L91" s="381"/>
    </row>
    <row r="92" spans="1:12" ht="65.25">
      <c r="A92" s="792" t="s">
        <v>133</v>
      </c>
      <c r="B92" s="790"/>
      <c r="C92" s="790"/>
      <c r="D92" s="312" t="s">
        <v>189</v>
      </c>
      <c r="E92" s="324">
        <f>'24-hour Crit Emissions Summary'!D39</f>
        <v>4.058333333333333</v>
      </c>
      <c r="F92" s="314">
        <f t="shared" si="10"/>
        <v>0.5113387268518518</v>
      </c>
      <c r="G92" s="324">
        <f>G5</f>
        <v>54.86132276744895</v>
      </c>
      <c r="H92" s="313">
        <f>'Turbine Stack Data Weighted Ave'!D21</f>
        <v>355.3618055555555</v>
      </c>
      <c r="I92" s="313">
        <f>'Turbine Stack Data Weighted Ave'!E21</f>
        <v>13.282916793660467</v>
      </c>
      <c r="J92" s="324">
        <f>J5</f>
        <v>5.486132276744895</v>
      </c>
      <c r="K92" s="617" t="s">
        <v>684</v>
      </c>
      <c r="L92" s="512" t="s">
        <v>678</v>
      </c>
    </row>
    <row r="93" spans="1:12" ht="12.75">
      <c r="A93" s="777"/>
      <c r="B93" s="790"/>
      <c r="C93" s="790"/>
      <c r="D93" s="315" t="s">
        <v>344</v>
      </c>
      <c r="E93" s="316">
        <f>'24-hour Crit Emissions Summary'!D40</f>
        <v>0.05436883819833752</v>
      </c>
      <c r="F93" s="317">
        <f t="shared" si="10"/>
        <v>0.006850322588439976</v>
      </c>
      <c r="G93" s="316">
        <f>G8</f>
        <v>13.7</v>
      </c>
      <c r="H93" s="316">
        <f>H8</f>
        <v>422.0388888888889</v>
      </c>
      <c r="I93" s="316">
        <f>I8</f>
        <v>15.239256324291373</v>
      </c>
      <c r="J93" s="316">
        <f>J8</f>
        <v>0.7619628162145687</v>
      </c>
      <c r="K93" s="70" t="s">
        <v>432</v>
      </c>
      <c r="L93" s="380"/>
    </row>
    <row r="94" spans="1:12" ht="26.25" thickBot="1">
      <c r="A94" s="793"/>
      <c r="B94" s="790"/>
      <c r="C94" s="790"/>
      <c r="D94" s="321" t="s">
        <v>297</v>
      </c>
      <c r="E94" s="421">
        <f>'24-hour Crit Emissions Summary'!D41</f>
        <v>0.00052585</v>
      </c>
      <c r="F94" s="323">
        <f t="shared" si="10"/>
        <v>6.625563930555555E-05</v>
      </c>
      <c r="G94" s="322">
        <f>G21</f>
        <v>10.667479427003961</v>
      </c>
      <c r="H94" s="322">
        <f>H21</f>
        <v>809.2611111111111</v>
      </c>
      <c r="I94" s="322">
        <f>I21</f>
        <v>65.23208610539527</v>
      </c>
      <c r="J94" s="322">
        <f>J21</f>
        <v>0.12699380270242813</v>
      </c>
      <c r="K94" s="318" t="s">
        <v>387</v>
      </c>
      <c r="L94" s="381"/>
    </row>
    <row r="95" spans="1:12" ht="83.25" customHeight="1">
      <c r="A95" s="776" t="s">
        <v>301</v>
      </c>
      <c r="B95" s="790"/>
      <c r="C95" s="790"/>
      <c r="D95" s="312" t="s">
        <v>189</v>
      </c>
      <c r="E95" s="313">
        <f>'24-hour Crit Emissions Summary'!E39</f>
        <v>8.333333333333334</v>
      </c>
      <c r="F95" s="317">
        <f t="shared" si="10"/>
        <v>1.0499768518518517</v>
      </c>
      <c r="G95" s="313">
        <f>G5</f>
        <v>54.86132276744895</v>
      </c>
      <c r="H95" s="313">
        <f>'Turbine Stack Data Weighted Ave'!D21</f>
        <v>355.3618055555555</v>
      </c>
      <c r="I95" s="313">
        <f>'Turbine Stack Data Weighted Ave'!E21</f>
        <v>13.282916793660467</v>
      </c>
      <c r="J95" s="313">
        <f>J5</f>
        <v>5.486132276744895</v>
      </c>
      <c r="K95" s="617" t="s">
        <v>685</v>
      </c>
      <c r="L95" s="512" t="s">
        <v>678</v>
      </c>
    </row>
    <row r="96" spans="1:12" ht="12.75">
      <c r="A96" s="777"/>
      <c r="B96" s="790"/>
      <c r="C96" s="790"/>
      <c r="D96" s="315" t="s">
        <v>344</v>
      </c>
      <c r="E96" s="316">
        <f>'24-hour Crit Emissions Summary'!E40</f>
        <v>0.17500000000000002</v>
      </c>
      <c r="F96" s="317">
        <f t="shared" si="10"/>
        <v>0.022049513888888893</v>
      </c>
      <c r="G96" s="316">
        <f>G8</f>
        <v>13.7</v>
      </c>
      <c r="H96" s="316">
        <f>H8</f>
        <v>422.0388888888889</v>
      </c>
      <c r="I96" s="316">
        <f>I8</f>
        <v>15.239256324291373</v>
      </c>
      <c r="J96" s="316">
        <f>J8</f>
        <v>0.7619628162145687</v>
      </c>
      <c r="K96" s="70" t="s">
        <v>432</v>
      </c>
      <c r="L96" s="380"/>
    </row>
    <row r="97" spans="1:12" ht="25.5">
      <c r="A97" s="777"/>
      <c r="B97" s="790"/>
      <c r="C97" s="790"/>
      <c r="D97" s="315" t="s">
        <v>297</v>
      </c>
      <c r="E97" s="316">
        <f>'24-hour Crit Emissions Summary'!E41</f>
        <v>0.01127302924079749</v>
      </c>
      <c r="F97" s="317">
        <f t="shared" si="10"/>
        <v>0.0014203703703703704</v>
      </c>
      <c r="G97" s="316">
        <f>G94</f>
        <v>10.667479427003961</v>
      </c>
      <c r="H97" s="316">
        <f>H94</f>
        <v>809.2611111111111</v>
      </c>
      <c r="I97" s="316">
        <f>I94</f>
        <v>65.23208610539527</v>
      </c>
      <c r="J97" s="316">
        <f>J94</f>
        <v>0.12699380270242813</v>
      </c>
      <c r="K97" s="318" t="s">
        <v>387</v>
      </c>
      <c r="L97" s="380"/>
    </row>
    <row r="98" spans="1:12" ht="15" thickBot="1">
      <c r="A98" s="778"/>
      <c r="B98" s="791"/>
      <c r="C98" s="791"/>
      <c r="D98" s="321" t="s">
        <v>401</v>
      </c>
      <c r="E98" s="322">
        <f>'24-hour Crit Emissions Summary'!E42/9</f>
        <v>0.09704064778212014</v>
      </c>
      <c r="F98" s="323">
        <f t="shared" si="10"/>
        <v>0.012226852063192187</v>
      </c>
      <c r="G98" s="322">
        <f>G61</f>
        <v>14</v>
      </c>
      <c r="H98" s="322">
        <f>H61</f>
        <v>294.26111111111106</v>
      </c>
      <c r="I98" s="322">
        <f>I61</f>
        <v>8.594036387101305</v>
      </c>
      <c r="J98" s="322">
        <f>J61</f>
        <v>10</v>
      </c>
      <c r="K98" s="321" t="s">
        <v>303</v>
      </c>
      <c r="L98" s="381"/>
    </row>
    <row r="99" spans="1:12" ht="12.75">
      <c r="A99" s="771" t="s">
        <v>402</v>
      </c>
      <c r="B99" s="771"/>
      <c r="C99" s="771"/>
      <c r="D99" s="771"/>
      <c r="E99" s="325"/>
      <c r="F99" s="325"/>
      <c r="G99" s="325"/>
      <c r="H99" s="325"/>
      <c r="I99" s="325"/>
      <c r="J99" s="325"/>
      <c r="K99" s="325"/>
      <c r="L99" s="325"/>
    </row>
  </sheetData>
  <sheetProtection/>
  <mergeCells count="90">
    <mergeCell ref="D42:D44"/>
    <mergeCell ref="G42:G44"/>
    <mergeCell ref="J42:J44"/>
    <mergeCell ref="D73:D75"/>
    <mergeCell ref="J73:J75"/>
    <mergeCell ref="G56:G58"/>
    <mergeCell ref="J62:J64"/>
    <mergeCell ref="J56:J58"/>
    <mergeCell ref="G73:G75"/>
    <mergeCell ref="C42:C46"/>
    <mergeCell ref="B42:B46"/>
    <mergeCell ref="B47:B51"/>
    <mergeCell ref="C56:C61"/>
    <mergeCell ref="C79:C84"/>
    <mergeCell ref="C47:C51"/>
    <mergeCell ref="C73:C78"/>
    <mergeCell ref="B56:B61"/>
    <mergeCell ref="J27:J29"/>
    <mergeCell ref="G32:G34"/>
    <mergeCell ref="J32:J34"/>
    <mergeCell ref="D47:D49"/>
    <mergeCell ref="J47:J49"/>
    <mergeCell ref="G47:G49"/>
    <mergeCell ref="G37:G39"/>
    <mergeCell ref="J37:J39"/>
    <mergeCell ref="D37:D39"/>
    <mergeCell ref="D27:D29"/>
    <mergeCell ref="C89:C98"/>
    <mergeCell ref="B89:B98"/>
    <mergeCell ref="C85:C88"/>
    <mergeCell ref="C68:C71"/>
    <mergeCell ref="B85:B88"/>
    <mergeCell ref="A92:A94"/>
    <mergeCell ref="B73:B78"/>
    <mergeCell ref="B79:B84"/>
    <mergeCell ref="B27:B31"/>
    <mergeCell ref="B62:B67"/>
    <mergeCell ref="D56:D58"/>
    <mergeCell ref="G5:G7"/>
    <mergeCell ref="C5:C8"/>
    <mergeCell ref="C27:C31"/>
    <mergeCell ref="C32:C36"/>
    <mergeCell ref="D32:D34"/>
    <mergeCell ref="G27:G29"/>
    <mergeCell ref="G62:G64"/>
    <mergeCell ref="G79:G81"/>
    <mergeCell ref="C52:C54"/>
    <mergeCell ref="B52:B54"/>
    <mergeCell ref="D79:D81"/>
    <mergeCell ref="J79:J81"/>
    <mergeCell ref="A1:L1"/>
    <mergeCell ref="B5:B8"/>
    <mergeCell ref="B19:B21"/>
    <mergeCell ref="B23:B25"/>
    <mergeCell ref="J5:J7"/>
    <mergeCell ref="A2:B2"/>
    <mergeCell ref="D5:D7"/>
    <mergeCell ref="C23:C25"/>
    <mergeCell ref="C19:C21"/>
    <mergeCell ref="A23:A25"/>
    <mergeCell ref="B37:B41"/>
    <mergeCell ref="C37:C41"/>
    <mergeCell ref="B32:B36"/>
    <mergeCell ref="A99:D99"/>
    <mergeCell ref="B68:B71"/>
    <mergeCell ref="D62:D64"/>
    <mergeCell ref="C62:C67"/>
    <mergeCell ref="A89:A91"/>
    <mergeCell ref="A95:A98"/>
    <mergeCell ref="B9:B13"/>
    <mergeCell ref="C9:C13"/>
    <mergeCell ref="D9:D11"/>
    <mergeCell ref="G9:G11"/>
    <mergeCell ref="J9:J11"/>
    <mergeCell ref="B14:B18"/>
    <mergeCell ref="C14:C18"/>
    <mergeCell ref="D14:D16"/>
    <mergeCell ref="G14:G16"/>
    <mergeCell ref="J14:J16"/>
    <mergeCell ref="A56:A61"/>
    <mergeCell ref="A62:A71"/>
    <mergeCell ref="A73:A78"/>
    <mergeCell ref="A79:A88"/>
    <mergeCell ref="A19:A21"/>
    <mergeCell ref="A5:A18"/>
    <mergeCell ref="A27:A36"/>
    <mergeCell ref="A37:A46"/>
    <mergeCell ref="A47:A54"/>
  </mergeCells>
  <printOptions horizontalCentered="1"/>
  <pageMargins left="0.7" right="0.7" top="0.75" bottom="0.5" header="0.3" footer="0.3"/>
  <pageSetup fitToHeight="0" fitToWidth="1" horizontalDpi="600" verticalDpi="600" orientation="landscape" scale="61" r:id="rId2"/>
  <headerFooter>
    <oddFooter>&amp;L&amp;D&amp;CPage &amp;P of &amp;N&amp;R&amp;A</oddFooter>
  </headerFooter>
  <rowBreaks count="6" manualBreakCount="6">
    <brk id="18" max="255" man="1"/>
    <brk id="46" max="255" man="1"/>
    <brk id="61" max="255" man="1"/>
    <brk id="78" max="255" man="1"/>
    <brk id="88" max="255" man="1"/>
    <brk id="99" max="255" man="1"/>
  </rowBreaks>
  <ignoredErrors>
    <ignoredError sqref="F86:F87 F67 H85:I85" formula="1"/>
  </ignoredErrors>
  <drawing r:id="rId1"/>
</worksheet>
</file>

<file path=xl/worksheets/sheet23.xml><?xml version="1.0" encoding="utf-8"?>
<worksheet xmlns="http://schemas.openxmlformats.org/spreadsheetml/2006/main" xmlns:r="http://schemas.openxmlformats.org/officeDocument/2006/relationships">
  <dimension ref="A1:H21"/>
  <sheetViews>
    <sheetView workbookViewId="0" topLeftCell="A1">
      <selection activeCell="G47" sqref="G47"/>
    </sheetView>
  </sheetViews>
  <sheetFormatPr defaultColWidth="8.7109375" defaultRowHeight="12.75"/>
  <cols>
    <col min="1" max="1" width="25.7109375" style="0" customWidth="1"/>
    <col min="2" max="4" width="15.7109375" style="0" customWidth="1"/>
    <col min="5" max="5" width="13.421875" style="0" customWidth="1"/>
    <col min="6" max="6" width="13.7109375" style="0" customWidth="1"/>
    <col min="7" max="7" width="13.140625" style="0" customWidth="1"/>
    <col min="8" max="8" width="10.00390625" style="0" customWidth="1"/>
  </cols>
  <sheetData>
    <row r="1" spans="1:8" ht="36" customHeight="1">
      <c r="A1" s="664" t="s">
        <v>408</v>
      </c>
      <c r="B1" s="662"/>
      <c r="C1" s="662"/>
      <c r="D1" s="662"/>
      <c r="E1" s="662"/>
      <c r="F1" s="662"/>
      <c r="G1" s="662"/>
      <c r="H1" s="662"/>
    </row>
    <row r="3" spans="1:4" ht="12.75">
      <c r="A3" s="696" t="s">
        <v>373</v>
      </c>
      <c r="B3" s="696"/>
      <c r="C3" s="587">
        <f>'Turbine+Duct Burner stack info'!C4</f>
        <v>1139</v>
      </c>
      <c r="D3" s="101" t="s">
        <v>71</v>
      </c>
    </row>
    <row r="4" ht="13.5" thickBot="1"/>
    <row r="5" spans="1:7" ht="40.5" thickBot="1">
      <c r="A5" s="296" t="s">
        <v>197</v>
      </c>
      <c r="B5" s="296" t="s">
        <v>375</v>
      </c>
      <c r="C5" s="296" t="s">
        <v>235</v>
      </c>
      <c r="D5" s="296" t="s">
        <v>332</v>
      </c>
      <c r="E5" s="296" t="s">
        <v>333</v>
      </c>
      <c r="F5" s="296" t="s">
        <v>334</v>
      </c>
      <c r="G5" s="296" t="s">
        <v>335</v>
      </c>
    </row>
    <row r="6" spans="1:7" ht="12.75">
      <c r="A6" s="297">
        <v>1</v>
      </c>
      <c r="B6" s="298">
        <v>10</v>
      </c>
      <c r="C6" s="391" t="s">
        <v>376</v>
      </c>
      <c r="D6" s="513">
        <f>'Turbine+Duct Burner stack info'!$C$5</f>
        <v>54.86132276744895</v>
      </c>
      <c r="E6" s="513">
        <f>'Turbine+Duct Burner stack info'!C21</f>
        <v>352.7055555555555</v>
      </c>
      <c r="F6" s="513">
        <f>'Turbine+Duct Burner stack info'!C39</f>
        <v>21.334958854007922</v>
      </c>
      <c r="G6" s="513">
        <f>'Turbine+Duct Burner stack info'!$C$6</f>
        <v>5.486132276744895</v>
      </c>
    </row>
    <row r="7" spans="1:7" ht="12.75">
      <c r="A7" s="294">
        <v>1</v>
      </c>
      <c r="B7" s="41">
        <v>59</v>
      </c>
      <c r="C7" s="573" t="s">
        <v>376</v>
      </c>
      <c r="D7" s="499">
        <f>'Turbine+Duct Burner stack info'!$C$5</f>
        <v>54.86132276744895</v>
      </c>
      <c r="E7" s="499">
        <f>'Turbine+Duct Burner stack info'!D21</f>
        <v>352.8722222222222</v>
      </c>
      <c r="F7" s="499">
        <f>'Turbine+Duct Burner stack info'!D39</f>
        <v>19.811033221578786</v>
      </c>
      <c r="G7" s="499">
        <f>'Turbine+Duct Burner stack info'!$C$6</f>
        <v>5.486132276744895</v>
      </c>
    </row>
    <row r="8" spans="1:7" ht="13.5" thickBot="1">
      <c r="A8" s="299">
        <v>1</v>
      </c>
      <c r="B8" s="220">
        <v>102</v>
      </c>
      <c r="C8" s="574" t="s">
        <v>376</v>
      </c>
      <c r="D8" s="515">
        <f>'Turbine+Duct Burner stack info'!$C$5</f>
        <v>54.86132276744895</v>
      </c>
      <c r="E8" s="515">
        <f>'Turbine+Duct Burner stack info'!E21</f>
        <v>353.76111111111106</v>
      </c>
      <c r="F8" s="515">
        <f>'Turbine+Duct Burner stack info'!E39</f>
        <v>18.896677842121303</v>
      </c>
      <c r="G8" s="515">
        <f>'Turbine+Duct Burner stack info'!$C$6</f>
        <v>5.486132276744895</v>
      </c>
    </row>
    <row r="9" spans="1:7" ht="12.75">
      <c r="A9" s="297">
        <v>1</v>
      </c>
      <c r="B9" s="298">
        <v>10</v>
      </c>
      <c r="C9" s="391" t="s">
        <v>377</v>
      </c>
      <c r="D9" s="513">
        <f>'Turbine+Duct Burner stack info'!$C$5</f>
        <v>54.86132276744895</v>
      </c>
      <c r="E9" s="513">
        <f>'Turbine+Duct Burner stack info'!C22</f>
        <v>361.81666666666666</v>
      </c>
      <c r="F9" s="513">
        <f>'Turbine+Duct Burner stack info'!C40</f>
        <v>21.63974398049375</v>
      </c>
      <c r="G9" s="513">
        <f>'Turbine+Duct Burner stack info'!$C$6</f>
        <v>5.486132276744895</v>
      </c>
    </row>
    <row r="10" spans="1:7" ht="12.75">
      <c r="A10" s="294">
        <v>1</v>
      </c>
      <c r="B10" s="41">
        <v>59</v>
      </c>
      <c r="C10" s="573" t="s">
        <v>377</v>
      </c>
      <c r="D10" s="499">
        <f>'Turbine+Duct Burner stack info'!$C$5</f>
        <v>54.86132276744895</v>
      </c>
      <c r="E10" s="499">
        <f>'Turbine+Duct Burner stack info'!D22</f>
        <v>361.7055555555555</v>
      </c>
      <c r="F10" s="499">
        <f>'Turbine+Duct Burner stack info'!D40</f>
        <v>20.115818348064614</v>
      </c>
      <c r="G10" s="499">
        <f>'Turbine+Duct Burner stack info'!$C$6</f>
        <v>5.486132276744895</v>
      </c>
    </row>
    <row r="11" spans="1:7" ht="13.5" thickBot="1">
      <c r="A11" s="299">
        <v>1</v>
      </c>
      <c r="B11" s="220">
        <v>102</v>
      </c>
      <c r="C11" s="574" t="s">
        <v>377</v>
      </c>
      <c r="D11" s="515">
        <f>'Turbine+Duct Burner stack info'!$C$5</f>
        <v>54.86132276744895</v>
      </c>
      <c r="E11" s="515">
        <f>'Turbine+Duct Burner stack info'!E22</f>
        <v>362.7611111111111</v>
      </c>
      <c r="F11" s="515">
        <f>'Turbine+Duct Burner stack info'!E40</f>
        <v>19.20146296860713</v>
      </c>
      <c r="G11" s="515">
        <f>'Turbine+Duct Burner stack info'!$C$6</f>
        <v>5.486132276744895</v>
      </c>
    </row>
    <row r="12" spans="1:7" ht="12.75">
      <c r="A12" s="297">
        <v>0.8</v>
      </c>
      <c r="B12" s="298">
        <v>10</v>
      </c>
      <c r="C12" s="391" t="s">
        <v>377</v>
      </c>
      <c r="D12" s="513">
        <f>'Turbine+Duct Burner stack info'!$C$5</f>
        <v>54.86132276744895</v>
      </c>
      <c r="E12" s="513">
        <f>'Turbine+Duct Burner stack info'!C23</f>
        <v>358.26111111111106</v>
      </c>
      <c r="F12" s="513">
        <f>'Turbine+Duct Burner stack info'!C41</f>
        <v>17.677537336177995</v>
      </c>
      <c r="G12" s="513">
        <f>'Turbine+Duct Burner stack info'!$C$6</f>
        <v>5.486132276744895</v>
      </c>
    </row>
    <row r="13" spans="1:7" ht="12.75">
      <c r="A13" s="294">
        <v>0.8</v>
      </c>
      <c r="B13" s="41">
        <v>59</v>
      </c>
      <c r="C13" s="573" t="s">
        <v>377</v>
      </c>
      <c r="D13" s="499">
        <f>'Turbine+Duct Burner stack info'!$C$5</f>
        <v>54.86132276744895</v>
      </c>
      <c r="E13" s="499">
        <f>'Turbine+Duct Burner stack info'!D23</f>
        <v>357.8722222222222</v>
      </c>
      <c r="F13" s="499">
        <f>'Turbine+Duct Burner stack info'!D41</f>
        <v>16.458396830234683</v>
      </c>
      <c r="G13" s="499">
        <f>'Turbine+Duct Burner stack info'!$C$6</f>
        <v>5.486132276744895</v>
      </c>
    </row>
    <row r="14" spans="1:7" ht="13.5" thickBot="1">
      <c r="A14" s="299">
        <v>0.8</v>
      </c>
      <c r="B14" s="220">
        <v>102</v>
      </c>
      <c r="C14" s="574" t="s">
        <v>377</v>
      </c>
      <c r="D14" s="515">
        <f>'Turbine+Duct Burner stack info'!$C$5</f>
        <v>54.86132276744895</v>
      </c>
      <c r="E14" s="515">
        <f>'Turbine+Duct Burner stack info'!E23</f>
        <v>358.4833333333333</v>
      </c>
      <c r="F14" s="515">
        <f>'Turbine+Duct Burner stack info'!E41</f>
        <v>14.934471197805546</v>
      </c>
      <c r="G14" s="515">
        <f>'Turbine+Duct Burner stack info'!$C$6</f>
        <v>5.486132276744895</v>
      </c>
    </row>
    <row r="15" spans="1:7" ht="12.75">
      <c r="A15" s="297" t="s">
        <v>569</v>
      </c>
      <c r="B15" s="298">
        <v>10</v>
      </c>
      <c r="C15" s="391" t="s">
        <v>377</v>
      </c>
      <c r="D15" s="513">
        <f>'Turbine+Duct Burner stack info'!$C$5</f>
        <v>54.86132276744895</v>
      </c>
      <c r="E15" s="513">
        <f>'Turbine+Duct Burner stack info'!C24</f>
        <v>356.09444444444443</v>
      </c>
      <c r="F15" s="513">
        <f>'Turbine+Duct Burner stack info'!C42</f>
        <v>15.239256324291373</v>
      </c>
      <c r="G15" s="513">
        <f>'Turbine+Duct Burner stack info'!$C$6</f>
        <v>5.486132276744895</v>
      </c>
    </row>
    <row r="16" spans="1:7" ht="12.75">
      <c r="A16" s="294" t="s">
        <v>569</v>
      </c>
      <c r="B16" s="46">
        <v>59</v>
      </c>
      <c r="C16" s="573" t="s">
        <v>377</v>
      </c>
      <c r="D16" s="499">
        <f>'Turbine+Duct Burner stack info'!$C$5</f>
        <v>54.86132276744895</v>
      </c>
      <c r="E16" s="499">
        <f>'Turbine+Duct Burner stack info'!D24</f>
        <v>355.31666666666666</v>
      </c>
      <c r="F16" s="499">
        <f>'Turbine+Duct Burner stack info'!D42</f>
        <v>13.10576043889058</v>
      </c>
      <c r="G16" s="499">
        <f>'Turbine+Duct Burner stack info'!$C$6</f>
        <v>5.486132276744895</v>
      </c>
    </row>
    <row r="17" spans="1:7" ht="13.5" thickBot="1">
      <c r="A17" s="299" t="s">
        <v>569</v>
      </c>
      <c r="B17" s="220">
        <v>102</v>
      </c>
      <c r="C17" s="574" t="s">
        <v>377</v>
      </c>
      <c r="D17" s="515">
        <f>'Turbine+Duct Burner stack info'!$C$5</f>
        <v>54.86132276744895</v>
      </c>
      <c r="E17" s="515">
        <f>'Turbine+Duct Burner stack info'!E24</f>
        <v>358.2055555555555</v>
      </c>
      <c r="F17" s="515">
        <f>'Turbine+Duct Burner stack info'!E42</f>
        <v>13.715330691862237</v>
      </c>
      <c r="G17" s="515">
        <f>'Turbine+Duct Burner stack info'!$C$6</f>
        <v>5.486132276744895</v>
      </c>
    </row>
    <row r="18" spans="1:7" ht="12.75">
      <c r="A18" s="297" t="s">
        <v>55</v>
      </c>
      <c r="B18" s="298">
        <v>10</v>
      </c>
      <c r="C18" s="512" t="s">
        <v>377</v>
      </c>
      <c r="D18" s="513">
        <f>'Turbine+Duct Burner stack info'!$C$5</f>
        <v>54.86132276744895</v>
      </c>
      <c r="E18" s="513">
        <f>'Turbine+Duct Burner stack info'!C20</f>
        <v>354.76111111111106</v>
      </c>
      <c r="F18" s="513">
        <f>'Turbine+Duct Burner stack info'!C38</f>
        <v>17.037488570557755</v>
      </c>
      <c r="G18" s="513">
        <f>'Turbine+Duct Burner stack info'!$C$6</f>
        <v>5.486132276744895</v>
      </c>
    </row>
    <row r="19" spans="1:7" ht="12.75">
      <c r="A19" s="294" t="s">
        <v>55</v>
      </c>
      <c r="B19" s="41">
        <v>59</v>
      </c>
      <c r="C19" s="480" t="s">
        <v>377</v>
      </c>
      <c r="D19" s="499">
        <f>'Turbine+Duct Burner stack info'!$C$5</f>
        <v>54.86132276744895</v>
      </c>
      <c r="E19" s="499">
        <f>'Turbine+Duct Burner stack info'!D20</f>
        <v>356.0388888888889</v>
      </c>
      <c r="F19" s="499">
        <f>'Turbine+Duct Burner stack info'!D38</f>
        <v>15.940262115208776</v>
      </c>
      <c r="G19" s="499">
        <f>'Turbine+Duct Burner stack info'!$C$6</f>
        <v>5.486132276744895</v>
      </c>
    </row>
    <row r="20" spans="1:7" ht="13.5" thickBot="1">
      <c r="A20" s="299" t="s">
        <v>55</v>
      </c>
      <c r="B20" s="220">
        <v>102</v>
      </c>
      <c r="C20" s="514" t="s">
        <v>377</v>
      </c>
      <c r="D20" s="515">
        <f>'Turbine+Duct Burner stack info'!$C$5</f>
        <v>54.86132276744895</v>
      </c>
      <c r="E20" s="515">
        <f>'Turbine+Duct Burner stack info'!E20</f>
        <v>359.0388888888889</v>
      </c>
      <c r="F20" s="515">
        <f>'Turbine+Duct Burner stack info'!E38</f>
        <v>15.117342273697043</v>
      </c>
      <c r="G20" s="515">
        <f>'Turbine+Duct Burner stack info'!$C$6</f>
        <v>5.486132276744895</v>
      </c>
    </row>
    <row r="21" ht="12.75">
      <c r="A21" s="384"/>
    </row>
  </sheetData>
  <sheetProtection/>
  <mergeCells count="2">
    <mergeCell ref="A1:H1"/>
    <mergeCell ref="A3:B3"/>
  </mergeCells>
  <printOptions horizontalCentered="1"/>
  <pageMargins left="0.7" right="0.7" top="1" bottom="1" header="0.5" footer="0.5"/>
  <pageSetup horizontalDpi="600" verticalDpi="600" orientation="landscape" r:id="rId2"/>
  <headerFooter>
    <oddFooter>&amp;L&amp;D&amp;C&amp;P of &amp;N&amp;R&amp;A</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C42" sqref="C42"/>
    </sheetView>
  </sheetViews>
  <sheetFormatPr defaultColWidth="11.421875" defaultRowHeight="12.75"/>
  <cols>
    <col min="1" max="1" width="38.421875" style="339" customWidth="1"/>
    <col min="2" max="2" width="25.7109375" style="339" customWidth="1"/>
    <col min="3" max="3" width="11.28125" style="339" customWidth="1"/>
    <col min="4" max="4" width="10.28125" style="339" customWidth="1"/>
    <col min="5" max="5" width="11.421875" style="339" customWidth="1"/>
    <col min="6" max="6" width="10.140625" style="339" customWidth="1"/>
    <col min="7" max="7" width="11.28125" style="339" customWidth="1"/>
    <col min="8" max="8" width="10.140625" style="339" customWidth="1"/>
    <col min="9" max="9" width="12.7109375" style="339" customWidth="1"/>
    <col min="10" max="10" width="10.00390625" style="339" customWidth="1"/>
    <col min="11" max="16384" width="11.421875" style="339" customWidth="1"/>
  </cols>
  <sheetData>
    <row r="1" spans="1:7" ht="30" customHeight="1">
      <c r="A1" s="798" t="s">
        <v>308</v>
      </c>
      <c r="B1" s="799"/>
      <c r="C1" s="799"/>
      <c r="D1" s="799"/>
      <c r="E1" s="799"/>
      <c r="F1" s="799"/>
      <c r="G1" s="799"/>
    </row>
    <row r="2" spans="1:7" ht="15.75">
      <c r="A2" s="340"/>
      <c r="B2" s="341"/>
      <c r="C2" s="341"/>
      <c r="D2" s="341"/>
      <c r="E2" s="341"/>
      <c r="F2" s="341"/>
      <c r="G2" s="341"/>
    </row>
    <row r="3" spans="1:3" ht="15.75">
      <c r="A3" s="342"/>
      <c r="B3" s="343" t="s">
        <v>70</v>
      </c>
      <c r="C3" s="343" t="s">
        <v>71</v>
      </c>
    </row>
    <row r="4" spans="1:3" ht="12.75">
      <c r="A4" s="344" t="s">
        <v>130</v>
      </c>
      <c r="B4" s="345"/>
      <c r="C4" s="346">
        <v>1139</v>
      </c>
    </row>
    <row r="5" spans="1:3" ht="12.75">
      <c r="A5" s="347" t="s">
        <v>68</v>
      </c>
      <c r="B5" s="575">
        <v>180</v>
      </c>
      <c r="C5" s="576">
        <f>B5/3.281</f>
        <v>54.86132276744895</v>
      </c>
    </row>
    <row r="6" spans="1:3" ht="12.75">
      <c r="A6" s="347" t="s">
        <v>69</v>
      </c>
      <c r="B6" s="575">
        <v>18</v>
      </c>
      <c r="C6" s="576">
        <f>B6/3.281</f>
        <v>5.486132276744895</v>
      </c>
    </row>
    <row r="8" spans="1:6" ht="14.25">
      <c r="A8" s="348" t="s">
        <v>65</v>
      </c>
      <c r="B8" s="349"/>
      <c r="C8" s="350" t="s">
        <v>66</v>
      </c>
      <c r="D8" s="349"/>
      <c r="E8" s="349"/>
      <c r="F8" s="349"/>
    </row>
    <row r="9" spans="1:9" ht="12.75">
      <c r="A9" s="349"/>
      <c r="B9" s="349"/>
      <c r="C9" s="800" t="s">
        <v>281</v>
      </c>
      <c r="D9" s="800"/>
      <c r="E9" s="800"/>
      <c r="G9" s="351"/>
      <c r="H9" s="351"/>
      <c r="I9" s="351"/>
    </row>
    <row r="10" spans="1:11" ht="14.25">
      <c r="A10" s="352" t="s">
        <v>157</v>
      </c>
      <c r="B10" s="353" t="s">
        <v>197</v>
      </c>
      <c r="C10" s="354" t="s">
        <v>241</v>
      </c>
      <c r="D10" s="353" t="s">
        <v>129</v>
      </c>
      <c r="E10" s="353" t="s">
        <v>128</v>
      </c>
      <c r="H10" s="351"/>
      <c r="I10" s="351"/>
      <c r="J10" s="351"/>
      <c r="K10" s="351"/>
    </row>
    <row r="11" spans="1:11" ht="12.75">
      <c r="A11" s="355" t="s">
        <v>54</v>
      </c>
      <c r="B11" s="597" t="s">
        <v>55</v>
      </c>
      <c r="C11" s="510">
        <v>178.9</v>
      </c>
      <c r="D11" s="356">
        <v>181.2</v>
      </c>
      <c r="E11" s="356">
        <v>186.6</v>
      </c>
      <c r="H11" s="351"/>
      <c r="I11" s="351"/>
      <c r="J11" s="351"/>
      <c r="K11" s="351"/>
    </row>
    <row r="12" spans="1:11" ht="12.75">
      <c r="A12" s="352" t="s">
        <v>158</v>
      </c>
      <c r="B12" s="476">
        <v>1</v>
      </c>
      <c r="C12" s="529">
        <v>175.2</v>
      </c>
      <c r="D12" s="529">
        <v>175.5</v>
      </c>
      <c r="E12" s="529">
        <v>177.1</v>
      </c>
      <c r="H12" s="358"/>
      <c r="I12" s="358"/>
      <c r="J12" s="359"/>
      <c r="K12" s="358"/>
    </row>
    <row r="13" spans="1:11" ht="12.75">
      <c r="A13" s="352" t="s">
        <v>159</v>
      </c>
      <c r="B13" s="476">
        <v>1</v>
      </c>
      <c r="C13" s="529">
        <v>191.6</v>
      </c>
      <c r="D13" s="529">
        <v>191.4</v>
      </c>
      <c r="E13" s="529">
        <v>193.3</v>
      </c>
      <c r="H13" s="358"/>
      <c r="I13" s="358"/>
      <c r="J13" s="359"/>
      <c r="K13" s="358"/>
    </row>
    <row r="14" spans="1:11" ht="12.75">
      <c r="A14" s="352" t="s">
        <v>160</v>
      </c>
      <c r="B14" s="476">
        <v>0.8</v>
      </c>
      <c r="C14" s="529">
        <v>185.2</v>
      </c>
      <c r="D14" s="529">
        <v>184.5</v>
      </c>
      <c r="E14" s="529">
        <v>185.6</v>
      </c>
      <c r="H14" s="360"/>
      <c r="I14" s="361"/>
      <c r="J14" s="360"/>
      <c r="K14" s="361"/>
    </row>
    <row r="15" spans="1:11" ht="12.75">
      <c r="A15" s="352" t="s">
        <v>160</v>
      </c>
      <c r="B15" s="476" t="s">
        <v>569</v>
      </c>
      <c r="C15" s="529">
        <v>181.3</v>
      </c>
      <c r="D15" s="529">
        <v>179.9</v>
      </c>
      <c r="E15" s="529">
        <v>185.1</v>
      </c>
      <c r="H15" s="360"/>
      <c r="I15" s="361"/>
      <c r="J15" s="360"/>
      <c r="K15" s="361"/>
    </row>
    <row r="16" spans="1:10" ht="12.75">
      <c r="A16" s="349"/>
      <c r="B16" s="349"/>
      <c r="C16" s="349"/>
      <c r="D16" s="349"/>
      <c r="E16" s="349"/>
      <c r="F16" s="349"/>
      <c r="G16" s="360"/>
      <c r="H16" s="361"/>
      <c r="I16" s="360"/>
      <c r="J16" s="361"/>
    </row>
    <row r="17" spans="1:10" ht="12.75">
      <c r="A17" s="348" t="s">
        <v>65</v>
      </c>
      <c r="B17" s="349"/>
      <c r="C17" s="362" t="s">
        <v>72</v>
      </c>
      <c r="D17" s="349"/>
      <c r="E17" s="349"/>
      <c r="F17" s="349"/>
      <c r="G17" s="360"/>
      <c r="H17" s="361"/>
      <c r="I17" s="360"/>
      <c r="J17" s="361"/>
    </row>
    <row r="18" spans="1:10" ht="12.75">
      <c r="A18" s="349"/>
      <c r="B18" s="349"/>
      <c r="C18" s="800" t="s">
        <v>281</v>
      </c>
      <c r="D18" s="800"/>
      <c r="E18" s="800"/>
      <c r="G18" s="360"/>
      <c r="H18" s="361"/>
      <c r="I18" s="360"/>
      <c r="J18" s="361"/>
    </row>
    <row r="19" spans="1:11" ht="14.25">
      <c r="A19" s="352" t="s">
        <v>157</v>
      </c>
      <c r="B19" s="353" t="s">
        <v>197</v>
      </c>
      <c r="C19" s="354" t="s">
        <v>241</v>
      </c>
      <c r="D19" s="353" t="s">
        <v>129</v>
      </c>
      <c r="E19" s="353" t="s">
        <v>128</v>
      </c>
      <c r="H19" s="360"/>
      <c r="I19" s="361"/>
      <c r="J19" s="360"/>
      <c r="K19" s="361"/>
    </row>
    <row r="20" spans="1:11" ht="12.75">
      <c r="A20" s="355" t="s">
        <v>54</v>
      </c>
      <c r="B20" s="597" t="s">
        <v>55</v>
      </c>
      <c r="C20" s="499">
        <f>(5/9*(C11-32))+273.15</f>
        <v>354.76111111111106</v>
      </c>
      <c r="D20" s="499">
        <f>(5/9*(D11-32))+273.15</f>
        <v>356.0388888888889</v>
      </c>
      <c r="E20" s="499">
        <f>(5/9*(E11-32))+273.15</f>
        <v>359.0388888888889</v>
      </c>
      <c r="H20" s="360"/>
      <c r="I20" s="361"/>
      <c r="J20" s="360"/>
      <c r="K20" s="361"/>
    </row>
    <row r="21" spans="1:11" ht="12.75">
      <c r="A21" s="352" t="s">
        <v>158</v>
      </c>
      <c r="B21" s="476">
        <v>1</v>
      </c>
      <c r="C21" s="499">
        <f>(5/9*(C12-32))+273.15</f>
        <v>352.7055555555555</v>
      </c>
      <c r="D21" s="499">
        <f aca="true" t="shared" si="0" ref="D21:E24">(5/9*(D12-32))+273.15</f>
        <v>352.8722222222222</v>
      </c>
      <c r="E21" s="499">
        <f t="shared" si="0"/>
        <v>353.76111111111106</v>
      </c>
      <c r="H21" s="360"/>
      <c r="I21" s="361"/>
      <c r="J21" s="360"/>
      <c r="K21" s="361"/>
    </row>
    <row r="22" spans="1:11" ht="12.75">
      <c r="A22" s="352" t="s">
        <v>159</v>
      </c>
      <c r="B22" s="476">
        <v>1</v>
      </c>
      <c r="C22" s="499">
        <f>(5/9*(C13-32))+273.15</f>
        <v>361.81666666666666</v>
      </c>
      <c r="D22" s="499">
        <f t="shared" si="0"/>
        <v>361.7055555555555</v>
      </c>
      <c r="E22" s="499">
        <f t="shared" si="0"/>
        <v>362.7611111111111</v>
      </c>
      <c r="H22" s="360"/>
      <c r="I22" s="361"/>
      <c r="J22" s="360"/>
      <c r="K22" s="361"/>
    </row>
    <row r="23" spans="1:11" ht="12.75">
      <c r="A23" s="352" t="s">
        <v>160</v>
      </c>
      <c r="B23" s="476">
        <v>0.8</v>
      </c>
      <c r="C23" s="499">
        <f>(5/9*(C14-32))+273.15</f>
        <v>358.26111111111106</v>
      </c>
      <c r="D23" s="499">
        <f t="shared" si="0"/>
        <v>357.8722222222222</v>
      </c>
      <c r="E23" s="499">
        <f t="shared" si="0"/>
        <v>358.4833333333333</v>
      </c>
      <c r="H23" s="360"/>
      <c r="I23" s="361"/>
      <c r="J23" s="360"/>
      <c r="K23" s="361"/>
    </row>
    <row r="24" spans="1:11" ht="12.75">
      <c r="A24" s="352" t="s">
        <v>160</v>
      </c>
      <c r="B24" s="476" t="s">
        <v>569</v>
      </c>
      <c r="C24" s="499">
        <f>(5/9*(C15-32))+273.15</f>
        <v>356.09444444444443</v>
      </c>
      <c r="D24" s="499">
        <f t="shared" si="0"/>
        <v>355.31666666666666</v>
      </c>
      <c r="E24" s="499">
        <f t="shared" si="0"/>
        <v>358.2055555555555</v>
      </c>
      <c r="H24" s="360"/>
      <c r="I24" s="361"/>
      <c r="J24" s="360"/>
      <c r="K24" s="361"/>
    </row>
    <row r="25" spans="1:10" ht="12.75">
      <c r="A25" s="349"/>
      <c r="B25" s="349"/>
      <c r="C25" s="349"/>
      <c r="D25" s="349"/>
      <c r="E25" s="349"/>
      <c r="F25" s="349"/>
      <c r="G25" s="360"/>
      <c r="H25" s="361"/>
      <c r="I25" s="360"/>
      <c r="J25" s="361"/>
    </row>
    <row r="26" spans="1:6" ht="12.75">
      <c r="A26" s="348" t="s">
        <v>67</v>
      </c>
      <c r="B26" s="349"/>
      <c r="C26" s="348" t="s">
        <v>490</v>
      </c>
      <c r="D26" s="349"/>
      <c r="E26" s="349"/>
      <c r="F26" s="349"/>
    </row>
    <row r="27" spans="1:5" ht="12.75">
      <c r="A27" s="349"/>
      <c r="B27" s="349"/>
      <c r="C27" s="801" t="s">
        <v>281</v>
      </c>
      <c r="D27" s="801"/>
      <c r="E27" s="801"/>
    </row>
    <row r="28" spans="1:5" ht="14.25">
      <c r="A28" s="352" t="s">
        <v>157</v>
      </c>
      <c r="B28" s="353" t="s">
        <v>197</v>
      </c>
      <c r="C28" s="354" t="s">
        <v>241</v>
      </c>
      <c r="D28" s="353" t="s">
        <v>129</v>
      </c>
      <c r="E28" s="353" t="s">
        <v>128</v>
      </c>
    </row>
    <row r="29" spans="1:5" ht="12.75">
      <c r="A29" s="355" t="s">
        <v>54</v>
      </c>
      <c r="B29" s="597" t="s">
        <v>55</v>
      </c>
      <c r="C29" s="511">
        <v>55.9</v>
      </c>
      <c r="D29" s="357">
        <v>52.3</v>
      </c>
      <c r="E29" s="357">
        <v>49.6</v>
      </c>
    </row>
    <row r="30" spans="1:9" ht="12.75">
      <c r="A30" s="352" t="s">
        <v>158</v>
      </c>
      <c r="B30" s="476">
        <v>1</v>
      </c>
      <c r="C30" s="540">
        <v>70</v>
      </c>
      <c r="D30" s="540">
        <v>65</v>
      </c>
      <c r="E30" s="540">
        <v>62</v>
      </c>
      <c r="I30" s="360"/>
    </row>
    <row r="31" spans="1:9" ht="12.75">
      <c r="A31" s="352" t="s">
        <v>159</v>
      </c>
      <c r="B31" s="476">
        <v>1</v>
      </c>
      <c r="C31" s="540">
        <v>71</v>
      </c>
      <c r="D31" s="540">
        <v>66</v>
      </c>
      <c r="E31" s="540">
        <v>63</v>
      </c>
      <c r="I31" s="363"/>
    </row>
    <row r="32" spans="1:5" ht="12.75">
      <c r="A32" s="352" t="s">
        <v>160</v>
      </c>
      <c r="B32" s="476">
        <v>0.8</v>
      </c>
      <c r="C32" s="540">
        <v>58</v>
      </c>
      <c r="D32" s="540">
        <v>54</v>
      </c>
      <c r="E32" s="540">
        <v>49</v>
      </c>
    </row>
    <row r="33" spans="1:5" ht="12.75">
      <c r="A33" s="352" t="s">
        <v>160</v>
      </c>
      <c r="B33" s="476" t="s">
        <v>569</v>
      </c>
      <c r="C33" s="540">
        <v>50</v>
      </c>
      <c r="D33" s="540">
        <v>43</v>
      </c>
      <c r="E33" s="540">
        <v>45</v>
      </c>
    </row>
    <row r="35" spans="1:6" ht="12.75">
      <c r="A35" s="348" t="s">
        <v>67</v>
      </c>
      <c r="B35" s="349"/>
      <c r="C35" s="348" t="s">
        <v>73</v>
      </c>
      <c r="D35" s="349"/>
      <c r="E35" s="349"/>
      <c r="F35" s="349"/>
    </row>
    <row r="36" spans="1:5" ht="12.75">
      <c r="A36" s="349"/>
      <c r="B36" s="349"/>
      <c r="C36" s="801" t="s">
        <v>281</v>
      </c>
      <c r="D36" s="801"/>
      <c r="E36" s="801"/>
    </row>
    <row r="37" spans="1:5" ht="14.25">
      <c r="A37" s="352" t="s">
        <v>157</v>
      </c>
      <c r="B37" s="353" t="s">
        <v>197</v>
      </c>
      <c r="C37" s="354" t="s">
        <v>241</v>
      </c>
      <c r="D37" s="353" t="s">
        <v>129</v>
      </c>
      <c r="E37" s="353" t="s">
        <v>128</v>
      </c>
    </row>
    <row r="38" spans="1:5" ht="12.75">
      <c r="A38" s="355" t="s">
        <v>54</v>
      </c>
      <c r="B38" s="597" t="s">
        <v>55</v>
      </c>
      <c r="C38" s="499">
        <f>C29/3.281</f>
        <v>17.037488570557755</v>
      </c>
      <c r="D38" s="499">
        <f>D29/3.281</f>
        <v>15.940262115208776</v>
      </c>
      <c r="E38" s="499">
        <f>E29/3.281</f>
        <v>15.117342273697043</v>
      </c>
    </row>
    <row r="39" spans="1:5" ht="12.75">
      <c r="A39" s="352" t="s">
        <v>158</v>
      </c>
      <c r="B39" s="476">
        <v>1</v>
      </c>
      <c r="C39" s="499">
        <f>C30/3.281</f>
        <v>21.334958854007922</v>
      </c>
      <c r="D39" s="499">
        <f aca="true" t="shared" si="1" ref="D39:E42">D30/3.281</f>
        <v>19.811033221578786</v>
      </c>
      <c r="E39" s="499">
        <f t="shared" si="1"/>
        <v>18.896677842121303</v>
      </c>
    </row>
    <row r="40" spans="1:5" ht="12.75">
      <c r="A40" s="352" t="s">
        <v>159</v>
      </c>
      <c r="B40" s="476">
        <v>1</v>
      </c>
      <c r="C40" s="499">
        <f>C31/3.281</f>
        <v>21.63974398049375</v>
      </c>
      <c r="D40" s="499">
        <f t="shared" si="1"/>
        <v>20.115818348064614</v>
      </c>
      <c r="E40" s="499">
        <f t="shared" si="1"/>
        <v>19.20146296860713</v>
      </c>
    </row>
    <row r="41" spans="1:5" ht="12.75">
      <c r="A41" s="352" t="s">
        <v>160</v>
      </c>
      <c r="B41" s="476">
        <v>0.8</v>
      </c>
      <c r="C41" s="499">
        <f>C32/3.281</f>
        <v>17.677537336177995</v>
      </c>
      <c r="D41" s="499">
        <f t="shared" si="1"/>
        <v>16.458396830234683</v>
      </c>
      <c r="E41" s="499">
        <f t="shared" si="1"/>
        <v>14.934471197805546</v>
      </c>
    </row>
    <row r="42" spans="1:5" ht="12.75">
      <c r="A42" s="352" t="s">
        <v>160</v>
      </c>
      <c r="B42" s="476" t="s">
        <v>569</v>
      </c>
      <c r="C42" s="499">
        <f>C33/3.281</f>
        <v>15.239256324291373</v>
      </c>
      <c r="D42" s="499">
        <f t="shared" si="1"/>
        <v>13.10576043889058</v>
      </c>
      <c r="E42" s="499">
        <f t="shared" si="1"/>
        <v>13.715330691862237</v>
      </c>
    </row>
  </sheetData>
  <sheetProtection/>
  <mergeCells count="5">
    <mergeCell ref="A1:G1"/>
    <mergeCell ref="C18:E18"/>
    <mergeCell ref="C9:E9"/>
    <mergeCell ref="C27:E27"/>
    <mergeCell ref="C36:E36"/>
  </mergeCells>
  <printOptions horizontalCentered="1"/>
  <pageMargins left="0.75" right="0.75" top="1" bottom="1" header="0.5" footer="0.5"/>
  <pageSetup fitToHeight="1" fitToWidth="1" horizontalDpi="300" verticalDpi="300" orientation="landscape" scale="66" r:id="rId2"/>
  <headerFooter alignWithMargins="0">
    <oddFooter>&amp;L&amp;D
&amp;C&amp;P of &amp;N&amp;R&amp;A</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K32"/>
  <sheetViews>
    <sheetView workbookViewId="0" topLeftCell="A1">
      <selection activeCell="A15" sqref="A15:E15"/>
    </sheetView>
  </sheetViews>
  <sheetFormatPr defaultColWidth="11.421875" defaultRowHeight="12.75"/>
  <cols>
    <col min="1" max="1" width="43.28125" style="4" customWidth="1"/>
    <col min="2" max="3" width="13.28125" style="4" customWidth="1"/>
    <col min="4" max="4" width="12.8515625" style="4" customWidth="1"/>
    <col min="5" max="5" width="13.421875" style="4" customWidth="1"/>
    <col min="6" max="7" width="15.00390625" style="4" customWidth="1"/>
    <col min="8" max="8" width="9.421875" style="4" customWidth="1"/>
    <col min="9" max="16384" width="11.421875" style="4" customWidth="1"/>
  </cols>
  <sheetData>
    <row r="1" spans="1:11" ht="29.25" customHeight="1">
      <c r="A1" s="665" t="s">
        <v>388</v>
      </c>
      <c r="B1" s="665"/>
      <c r="C1" s="665"/>
      <c r="D1" s="665"/>
      <c r="E1" s="665"/>
      <c r="F1" s="665"/>
      <c r="G1" s="665"/>
      <c r="H1" s="665"/>
      <c r="I1" s="665"/>
      <c r="J1" s="665"/>
      <c r="K1" s="665"/>
    </row>
    <row r="3" spans="1:7" ht="12.75">
      <c r="A3" s="807" t="s">
        <v>171</v>
      </c>
      <c r="B3" s="807"/>
      <c r="C3" s="807"/>
      <c r="D3" s="807"/>
      <c r="E3" s="807"/>
      <c r="F3" s="310"/>
      <c r="G3" s="310"/>
    </row>
    <row r="4" spans="1:7" ht="12.75">
      <c r="A4" s="364" t="s">
        <v>281</v>
      </c>
      <c r="B4" s="364"/>
      <c r="C4" s="790" t="s">
        <v>423</v>
      </c>
      <c r="D4" s="812"/>
      <c r="E4" s="310"/>
      <c r="F4" s="310"/>
      <c r="G4" s="310"/>
    </row>
    <row r="5" spans="1:7" ht="58.5" customHeight="1">
      <c r="A5" s="330" t="s">
        <v>157</v>
      </c>
      <c r="B5" s="330" t="s">
        <v>197</v>
      </c>
      <c r="C5" s="330" t="s">
        <v>424</v>
      </c>
      <c r="D5" s="330" t="s">
        <v>425</v>
      </c>
      <c r="E5" s="330" t="s">
        <v>321</v>
      </c>
      <c r="F5" s="310"/>
      <c r="G5" s="310"/>
    </row>
    <row r="6" spans="1:7" ht="12.75">
      <c r="A6" s="507" t="s">
        <v>600</v>
      </c>
      <c r="B6" s="508" t="s">
        <v>55</v>
      </c>
      <c r="C6" s="577">
        <f>'Turbine+Duct Burner stack info'!D20</f>
        <v>356.0388888888889</v>
      </c>
      <c r="D6" s="577">
        <f>'Turbine+Duct Burner stack info'!D38</f>
        <v>15.940262115208776</v>
      </c>
      <c r="E6" s="501">
        <f>'Turbine and Duct Burner Annual'!H7</f>
        <v>325</v>
      </c>
      <c r="F6" s="310"/>
      <c r="G6" s="310"/>
    </row>
    <row r="7" spans="1:7" ht="12.75">
      <c r="A7" s="311" t="s">
        <v>158</v>
      </c>
      <c r="B7" s="365">
        <f>'Turbine+Duct Burner stack info'!B21</f>
        <v>1</v>
      </c>
      <c r="C7" s="504">
        <f>'Turbine+Duct Burner stack info'!D21</f>
        <v>352.8722222222222</v>
      </c>
      <c r="D7" s="504">
        <f>'Turbine+Duct Burner stack info'!D39</f>
        <v>19.811033221578786</v>
      </c>
      <c r="E7" s="503">
        <f>'Turbine and Duct Burner Annual'!$H$3</f>
        <v>4224</v>
      </c>
      <c r="F7" s="310"/>
      <c r="G7" s="310"/>
    </row>
    <row r="8" spans="1:9" ht="12.75">
      <c r="A8" s="311" t="s">
        <v>159</v>
      </c>
      <c r="B8" s="365">
        <v>0.8</v>
      </c>
      <c r="C8" s="504">
        <f>'Turbine+Duct Burner stack info'!D23</f>
        <v>357.8722222222222</v>
      </c>
      <c r="D8" s="504">
        <f>'Turbine+Duct Burner stack info'!D41</f>
        <v>16.458396830234683</v>
      </c>
      <c r="E8" s="503">
        <f>'Turbine and Duct Burner Annual'!$H$6</f>
        <v>3681.75</v>
      </c>
      <c r="F8" s="810" t="s">
        <v>570</v>
      </c>
      <c r="G8" s="811"/>
      <c r="H8" s="811"/>
      <c r="I8" s="811"/>
    </row>
    <row r="9" spans="1:8" ht="12.75" customHeight="1">
      <c r="A9" s="311" t="s">
        <v>159</v>
      </c>
      <c r="B9" s="600" t="s">
        <v>265</v>
      </c>
      <c r="C9" s="504">
        <f>'Turbine+Duct Burner stack info'!D24</f>
        <v>355.31666666666666</v>
      </c>
      <c r="D9" s="504">
        <f>'Turbine+Duct Burner stack info'!D42</f>
        <v>13.10576043889058</v>
      </c>
      <c r="E9" s="503">
        <f>'Turbine and Duct Burner Annual'!H4</f>
        <v>91.25</v>
      </c>
      <c r="F9" s="808" t="s">
        <v>416</v>
      </c>
      <c r="G9" s="809"/>
      <c r="H9" s="16"/>
    </row>
    <row r="10" spans="1:9" ht="12.75">
      <c r="A10" s="777" t="s">
        <v>374</v>
      </c>
      <c r="B10" s="777"/>
      <c r="C10" s="509">
        <f>SUMPRODUCT(C6:C9,E6:E9)/SUM(E6:E9)</f>
        <v>355.23475192929055</v>
      </c>
      <c r="D10" s="509">
        <f>SUMPRODUCT(D6:D9,E6:E9)/SUM(E6:E9)</f>
        <v>18.103099337317584</v>
      </c>
      <c r="E10" s="349"/>
      <c r="F10" s="349"/>
      <c r="G10" s="349"/>
      <c r="H10"/>
      <c r="I10" s="15"/>
    </row>
    <row r="11" spans="1:9" ht="14.25">
      <c r="A11" s="425"/>
      <c r="B11" s="425"/>
      <c r="C11" s="426" t="s">
        <v>487</v>
      </c>
      <c r="D11" s="426" t="s">
        <v>488</v>
      </c>
      <c r="E11" s="349"/>
      <c r="F11" s="811" t="s">
        <v>486</v>
      </c>
      <c r="G11" s="811"/>
      <c r="H11"/>
      <c r="I11" s="15"/>
    </row>
    <row r="12" spans="1:7" ht="12.75">
      <c r="A12" s="310"/>
      <c r="B12" s="310"/>
      <c r="C12" s="504">
        <f>((C10-273.15)*9/5)+32</f>
        <v>179.75255347272304</v>
      </c>
      <c r="D12" s="504">
        <f>D10*3.281</f>
        <v>59.396268925738994</v>
      </c>
      <c r="E12" s="310"/>
      <c r="F12" s="811"/>
      <c r="G12" s="811"/>
    </row>
    <row r="13" spans="1:7" ht="12.75">
      <c r="A13" s="310"/>
      <c r="B13" s="310"/>
      <c r="C13" s="310"/>
      <c r="D13" s="310"/>
      <c r="E13" s="310"/>
      <c r="F13" s="310"/>
      <c r="G13" s="310"/>
    </row>
    <row r="14" spans="1:7" ht="12.75">
      <c r="A14" s="310"/>
      <c r="B14" s="310"/>
      <c r="C14" s="310"/>
      <c r="D14" s="310"/>
      <c r="E14" s="310"/>
      <c r="F14" s="310"/>
      <c r="G14" s="310"/>
    </row>
    <row r="15" spans="1:7" ht="12.75" customHeight="1">
      <c r="A15" s="815" t="s">
        <v>644</v>
      </c>
      <c r="B15" s="815"/>
      <c r="C15" s="815"/>
      <c r="D15" s="815"/>
      <c r="E15" s="815"/>
      <c r="F15" s="310"/>
      <c r="G15" s="310"/>
    </row>
    <row r="16" spans="1:9" ht="12.75" customHeight="1">
      <c r="A16" s="310"/>
      <c r="B16" s="802" t="s">
        <v>431</v>
      </c>
      <c r="C16" s="803"/>
      <c r="D16" s="804" t="s">
        <v>390</v>
      </c>
      <c r="E16" s="805"/>
      <c r="F16" s="802" t="s">
        <v>389</v>
      </c>
      <c r="G16" s="803"/>
      <c r="H16" s="806" t="s">
        <v>254</v>
      </c>
      <c r="I16" s="310"/>
    </row>
    <row r="17" spans="1:9" ht="38.25">
      <c r="A17" s="310"/>
      <c r="B17" s="624" t="s">
        <v>391</v>
      </c>
      <c r="C17" s="624" t="s">
        <v>392</v>
      </c>
      <c r="D17" s="329" t="s">
        <v>391</v>
      </c>
      <c r="E17" s="329" t="s">
        <v>392</v>
      </c>
      <c r="F17" s="624" t="s">
        <v>391</v>
      </c>
      <c r="G17" s="624" t="s">
        <v>392</v>
      </c>
      <c r="H17" s="806"/>
      <c r="I17" s="310"/>
    </row>
    <row r="18" spans="1:11" ht="12.75">
      <c r="A18" s="311" t="s">
        <v>645</v>
      </c>
      <c r="B18" s="625">
        <f>'Turbine+Duct Burner stack info'!C20</f>
        <v>354.76111111111106</v>
      </c>
      <c r="C18" s="625">
        <f>'Turbine+Duct Burner stack info'!C38</f>
        <v>17.037488570557755</v>
      </c>
      <c r="D18" s="504">
        <f>'Turbine+Duct Burner stack info'!D20</f>
        <v>356.0388888888889</v>
      </c>
      <c r="E18" s="504">
        <f>'Turbine+Duct Burner stack info'!D38</f>
        <v>15.940262115208776</v>
      </c>
      <c r="F18" s="625">
        <f>'Turbine+Duct Burner stack info'!E20</f>
        <v>359.0388888888889</v>
      </c>
      <c r="G18" s="625">
        <f>'Turbine+Duct Burner stack info'!E38</f>
        <v>15.117342273697043</v>
      </c>
      <c r="H18" s="504">
        <f>'Turbine Startup Emissions'!D5*3</f>
        <v>1.5</v>
      </c>
      <c r="I18" s="813" t="s">
        <v>601</v>
      </c>
      <c r="J18" s="814"/>
      <c r="K18" s="814"/>
    </row>
    <row r="19" spans="1:11" ht="12.75">
      <c r="A19" s="311" t="s">
        <v>646</v>
      </c>
      <c r="B19" s="625">
        <f>'Turbine+Duct Burner stack info'!C24</f>
        <v>356.09444444444443</v>
      </c>
      <c r="C19" s="625">
        <f>'Turbine+Duct Burner stack info'!C42</f>
        <v>15.239256324291373</v>
      </c>
      <c r="D19" s="504">
        <f>'Turbine+Duct Burner stack info'!D24</f>
        <v>355.31666666666666</v>
      </c>
      <c r="E19" s="504">
        <f>'Turbine+Duct Burner stack info'!D42</f>
        <v>13.10576043889058</v>
      </c>
      <c r="F19" s="625">
        <f>'Turbine+Duct Burner stack info'!E24</f>
        <v>358.2055555555555</v>
      </c>
      <c r="G19" s="625">
        <f>'Turbine+Duct Burner stack info'!E42</f>
        <v>13.715330691862237</v>
      </c>
      <c r="H19" s="504">
        <f>'Turbine Shutdown Emissions'!B3*2</f>
        <v>0.5</v>
      </c>
      <c r="I19" s="813" t="s">
        <v>583</v>
      </c>
      <c r="J19" s="814"/>
      <c r="K19" s="814"/>
    </row>
    <row r="20" spans="1:9" ht="25.5">
      <c r="A20" s="477" t="s">
        <v>572</v>
      </c>
      <c r="B20" s="625">
        <f>'Turbine+Duct Burner stack info'!C24</f>
        <v>356.09444444444443</v>
      </c>
      <c r="C20" s="625">
        <f>'Turbine+Duct Burner stack info'!C42</f>
        <v>15.239256324291373</v>
      </c>
      <c r="D20" s="504">
        <f>'Turbine+Duct Burner stack info'!D24</f>
        <v>355.31666666666666</v>
      </c>
      <c r="E20" s="504">
        <f>'Turbine+Duct Burner stack info'!D42</f>
        <v>13.10576043889058</v>
      </c>
      <c r="F20" s="625">
        <f>'Turbine+Duct Burner stack info'!E24</f>
        <v>358.2055555555555</v>
      </c>
      <c r="G20" s="625">
        <f>'Turbine+Duct Burner stack info'!E42</f>
        <v>13.715330691862237</v>
      </c>
      <c r="H20" s="504">
        <f>24-H19-H18</f>
        <v>22</v>
      </c>
      <c r="I20" s="310"/>
    </row>
    <row r="21" spans="1:9" ht="12.75">
      <c r="A21" s="311" t="s">
        <v>422</v>
      </c>
      <c r="B21" s="626">
        <f>SUMPRODUCT(H18:H20,B18:B20)/SUM(H18:H20)</f>
        <v>356.0111111111111</v>
      </c>
      <c r="C21" s="626">
        <f>SUMPRODUCT(H18:H20,C18:C20)/SUM(H18:H20)</f>
        <v>15.351645839683021</v>
      </c>
      <c r="D21" s="505">
        <f>SUMPRODUCT(H18:H20,D18:D20)/SUM(H18:H20)</f>
        <v>355.3618055555555</v>
      </c>
      <c r="E21" s="505">
        <f>SUMPRODUCT(H18:H20,E18:E20)/SUM(H18:H20)</f>
        <v>13.282916793660467</v>
      </c>
      <c r="F21" s="626">
        <f>SUMPRODUCT(H18:H20,F18:F20)/SUM(H18:H20)</f>
        <v>358.25763888888883</v>
      </c>
      <c r="G21" s="626">
        <f>SUMPRODUCT(H18:H20,G18:G20)/SUM(H18:H20)</f>
        <v>13.80295641572691</v>
      </c>
      <c r="H21" s="506"/>
      <c r="I21" s="310"/>
    </row>
    <row r="22" spans="1:7" ht="12.75">
      <c r="A22" s="310"/>
      <c r="B22" s="310"/>
      <c r="C22" s="310"/>
      <c r="D22" s="310"/>
      <c r="E22" s="310"/>
      <c r="F22" s="310"/>
      <c r="G22" s="310"/>
    </row>
    <row r="23" spans="1:10" ht="51" customHeight="1">
      <c r="A23" s="310"/>
      <c r="B23" s="310"/>
      <c r="C23" s="310"/>
      <c r="D23" s="310"/>
      <c r="E23" s="310"/>
      <c r="F23" s="310"/>
      <c r="G23" s="310"/>
      <c r="H23" s="627"/>
      <c r="I23" s="659" t="s">
        <v>679</v>
      </c>
      <c r="J23" s="659"/>
    </row>
    <row r="24" spans="1:7" ht="12.75">
      <c r="A24" s="310"/>
      <c r="B24" s="310"/>
      <c r="C24" s="310"/>
      <c r="D24" s="310"/>
      <c r="E24" s="310"/>
      <c r="F24" s="310"/>
      <c r="G24" s="310"/>
    </row>
    <row r="25" spans="1:7" ht="12.75">
      <c r="A25" s="310"/>
      <c r="B25" s="310"/>
      <c r="C25" s="310"/>
      <c r="D25" s="310"/>
      <c r="E25" s="310"/>
      <c r="F25" s="310"/>
      <c r="G25" s="310"/>
    </row>
    <row r="26" spans="1:7" ht="12.75">
      <c r="A26" s="310"/>
      <c r="B26" s="310"/>
      <c r="C26" s="310"/>
      <c r="D26" s="310"/>
      <c r="E26" s="310"/>
      <c r="F26" s="310"/>
      <c r="G26" s="310"/>
    </row>
    <row r="27" spans="1:7" ht="12.75">
      <c r="A27" s="310"/>
      <c r="B27" s="310"/>
      <c r="C27" s="310"/>
      <c r="D27" s="310"/>
      <c r="E27" s="310"/>
      <c r="F27" s="310"/>
      <c r="G27" s="310"/>
    </row>
    <row r="28" spans="1:7" ht="12.75">
      <c r="A28" s="310"/>
      <c r="B28" s="310"/>
      <c r="C28" s="310"/>
      <c r="D28" s="310"/>
      <c r="E28" s="310"/>
      <c r="F28" s="310"/>
      <c r="G28" s="310"/>
    </row>
    <row r="29" spans="1:7" ht="12.75">
      <c r="A29" s="310"/>
      <c r="B29" s="310"/>
      <c r="C29" s="310"/>
      <c r="D29" s="310"/>
      <c r="E29" s="310"/>
      <c r="F29" s="310"/>
      <c r="G29" s="310"/>
    </row>
    <row r="30" spans="1:7" ht="12.75">
      <c r="A30" s="310"/>
      <c r="B30" s="310"/>
      <c r="C30" s="310"/>
      <c r="D30" s="310"/>
      <c r="E30" s="310"/>
      <c r="F30" s="310"/>
      <c r="G30" s="310"/>
    </row>
    <row r="31" spans="1:7" ht="12.75">
      <c r="A31" s="310"/>
      <c r="B31" s="310"/>
      <c r="C31" s="310"/>
      <c r="D31" s="310"/>
      <c r="E31" s="310"/>
      <c r="F31" s="310"/>
      <c r="G31" s="310"/>
    </row>
    <row r="32" spans="1:7" ht="12.75">
      <c r="A32" s="310"/>
      <c r="B32" s="310"/>
      <c r="C32" s="310"/>
      <c r="D32" s="310"/>
      <c r="E32" s="310"/>
      <c r="F32" s="310"/>
      <c r="G32" s="310"/>
    </row>
  </sheetData>
  <sheetProtection/>
  <mergeCells count="15">
    <mergeCell ref="I23:J23"/>
    <mergeCell ref="F11:G12"/>
    <mergeCell ref="I19:K19"/>
    <mergeCell ref="I18:K18"/>
    <mergeCell ref="A15:E15"/>
    <mergeCell ref="A1:K1"/>
    <mergeCell ref="B16:C16"/>
    <mergeCell ref="D16:E16"/>
    <mergeCell ref="F16:G16"/>
    <mergeCell ref="H16:H17"/>
    <mergeCell ref="A3:E3"/>
    <mergeCell ref="F9:G9"/>
    <mergeCell ref="A10:B10"/>
    <mergeCell ref="F8:I8"/>
    <mergeCell ref="C4:D4"/>
  </mergeCells>
  <printOptions horizontalCentered="1"/>
  <pageMargins left="0.7" right="0.7" top="0.75" bottom="0.75" header="0.3" footer="0.3"/>
  <pageSetup fitToHeight="0" fitToWidth="1" horizontalDpi="600" verticalDpi="600" orientation="landscape" scale="73" r:id="rId2"/>
  <headerFooter>
    <oddFooter>&amp;L&amp;D&amp;C&amp;P of &amp;N&amp;R&amp;A</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I66"/>
  <sheetViews>
    <sheetView zoomScaleSheetLayoutView="75" zoomScalePageLayoutView="0" workbookViewId="0" topLeftCell="A1">
      <selection activeCell="B40" sqref="B40"/>
    </sheetView>
  </sheetViews>
  <sheetFormatPr defaultColWidth="11.421875" defaultRowHeight="12.75"/>
  <cols>
    <col min="1" max="1" width="68.8515625" style="4" customWidth="1"/>
    <col min="2" max="2" width="10.7109375" style="4" customWidth="1"/>
    <col min="3" max="3" width="11.00390625" style="4" customWidth="1"/>
    <col min="4" max="4" width="11.57421875" style="4" customWidth="1"/>
    <col min="5" max="5" width="10.57421875" style="4" customWidth="1"/>
    <col min="6" max="6" width="13.28125" style="4" customWidth="1"/>
    <col min="7" max="7" width="9.421875" style="4" customWidth="1"/>
    <col min="8" max="8" width="11.140625" style="4" customWidth="1"/>
    <col min="9" max="9" width="8.7109375" style="4" customWidth="1"/>
    <col min="10" max="10" width="10.8515625" style="4" customWidth="1"/>
    <col min="11" max="11" width="9.00390625" style="4" customWidth="1"/>
    <col min="12" max="16384" width="11.421875" style="4" customWidth="1"/>
  </cols>
  <sheetData>
    <row r="1" spans="1:9" ht="43.5" customHeight="1">
      <c r="A1" s="660" t="s">
        <v>680</v>
      </c>
      <c r="B1" s="660"/>
      <c r="C1" s="660"/>
      <c r="D1" s="660"/>
      <c r="E1" s="660"/>
      <c r="F1" s="660"/>
      <c r="G1" s="660"/>
      <c r="H1" s="126"/>
      <c r="I1" s="126"/>
    </row>
    <row r="12" spans="1:2" ht="12.75">
      <c r="A12" s="40" t="s">
        <v>100</v>
      </c>
      <c r="B12" s="502">
        <v>2</v>
      </c>
    </row>
    <row r="13" spans="1:2" ht="12.75">
      <c r="A13" s="47" t="s">
        <v>287</v>
      </c>
      <c r="B13" s="502">
        <v>2</v>
      </c>
    </row>
    <row r="14" spans="1:5" ht="12.75" customHeight="1">
      <c r="A14" s="47" t="s">
        <v>288</v>
      </c>
      <c r="B14" s="502">
        <f>'Turbine Startup Emissions'!D5*3</f>
        <v>1.5</v>
      </c>
      <c r="C14" s="657" t="s">
        <v>643</v>
      </c>
      <c r="D14" s="688"/>
      <c r="E14" s="688"/>
    </row>
    <row r="15" spans="1:2" ht="12.75">
      <c r="A15" s="40" t="s">
        <v>148</v>
      </c>
      <c r="B15" s="502">
        <v>0</v>
      </c>
    </row>
    <row r="16" spans="1:2" ht="25.5">
      <c r="A16" s="40" t="s">
        <v>149</v>
      </c>
      <c r="B16" s="502">
        <f>'Turbine Startup Emissions'!D6*0</f>
        <v>0</v>
      </c>
    </row>
    <row r="17" spans="1:2" ht="12.75">
      <c r="A17" s="40" t="s">
        <v>25</v>
      </c>
      <c r="B17" s="502">
        <v>0</v>
      </c>
    </row>
    <row r="18" spans="1:2" ht="12.75">
      <c r="A18" s="40" t="s">
        <v>26</v>
      </c>
      <c r="B18" s="532">
        <f>'Turbine Startup Emissions'!D7*0</f>
        <v>0</v>
      </c>
    </row>
    <row r="19" spans="1:3" ht="12.75">
      <c r="A19" s="40" t="s">
        <v>584</v>
      </c>
      <c r="B19" s="503">
        <v>2</v>
      </c>
      <c r="C19" s="599"/>
    </row>
    <row r="20" spans="1:5" ht="12.75">
      <c r="A20" s="40" t="s">
        <v>585</v>
      </c>
      <c r="B20" s="504">
        <f>'Turbine Shutdown Emissions'!B3*2</f>
        <v>0.5</v>
      </c>
      <c r="C20" s="657" t="s">
        <v>642</v>
      </c>
      <c r="D20" s="659"/>
      <c r="E20" s="659"/>
    </row>
    <row r="21" spans="1:2" ht="12.75">
      <c r="A21" s="40" t="s">
        <v>99</v>
      </c>
      <c r="B21" s="502">
        <v>12</v>
      </c>
    </row>
    <row r="22" spans="1:2" ht="12.75">
      <c r="A22" s="40" t="s">
        <v>476</v>
      </c>
      <c r="B22" s="502">
        <v>4</v>
      </c>
    </row>
    <row r="23" spans="1:2" ht="12.75">
      <c r="A23" s="40" t="s">
        <v>164</v>
      </c>
      <c r="B23" s="502">
        <v>24</v>
      </c>
    </row>
    <row r="25" spans="2:5" ht="15">
      <c r="B25" s="303" t="s">
        <v>282</v>
      </c>
      <c r="C25" s="303" t="s">
        <v>414</v>
      </c>
      <c r="D25" s="303" t="s">
        <v>603</v>
      </c>
      <c r="E25" s="303" t="s">
        <v>589</v>
      </c>
    </row>
    <row r="26" spans="1:5" ht="12.75">
      <c r="A26" s="696" t="s">
        <v>371</v>
      </c>
      <c r="B26" s="696"/>
      <c r="C26" s="696"/>
      <c r="D26" s="696"/>
      <c r="E26" s="696"/>
    </row>
    <row r="27" spans="1:6" ht="12.75">
      <c r="A27" s="47" t="s">
        <v>289</v>
      </c>
      <c r="B27" s="577">
        <f>$B$13*$B$14*MAX('Turbine Startup Emissions'!$G$16:$I$16)</f>
        <v>303.96</v>
      </c>
      <c r="C27" s="577">
        <f>$B$13*$B$14*MAX('Turbine Startup Emissions'!$G$18:$I$18)</f>
        <v>52.67999999999999</v>
      </c>
      <c r="D27" s="577">
        <f>$B$13*$B$14*MAX('Turbine and Duct Burner Hourly'!$C$65:$E$65)</f>
        <v>10.8</v>
      </c>
      <c r="E27" s="577">
        <f>$B$13*$B$14*MAX('Turbine and Duct Burner Hourly'!$C$74:$E$74)</f>
        <v>19.5</v>
      </c>
      <c r="F27" s="47" t="s">
        <v>290</v>
      </c>
    </row>
    <row r="28" spans="1:6" ht="12.75">
      <c r="A28" s="40" t="s">
        <v>150</v>
      </c>
      <c r="B28" s="504">
        <f>$B$15*$B$16*MAX('Turbine Startup Emissions'!$B$23:$D$23)</f>
        <v>0</v>
      </c>
      <c r="C28" s="504">
        <f>$B$15*$B$16*MAX('Turbine Startup Emissions'!$B$25:$D$25)</f>
        <v>0</v>
      </c>
      <c r="D28" s="504">
        <f>$B$15*$B$16*MAX('Turbine and Duct Burner Hourly'!$C$65:$E$65)</f>
        <v>0</v>
      </c>
      <c r="E28" s="504">
        <f>$B$15*$B$16*MAX('Turbine and Duct Burner Hourly'!$C$74:$E$74)</f>
        <v>0</v>
      </c>
      <c r="F28" s="40" t="s">
        <v>27</v>
      </c>
    </row>
    <row r="29" spans="1:6" ht="12.75">
      <c r="A29" s="40" t="s">
        <v>582</v>
      </c>
      <c r="B29" s="578">
        <f>$B$17*$B$18*MAX('Turbine Startup Emissions'!$B$30:$D$30)</f>
        <v>0</v>
      </c>
      <c r="C29" s="578">
        <f>$B$17*$B$18*MAX('Turbine Startup Emissions'!$B$32:$D$32)</f>
        <v>0</v>
      </c>
      <c r="D29" s="578">
        <f>$B$17*$B$18*MAX('Turbine and Duct Burner Hourly'!$C$65:$E$65)</f>
        <v>0</v>
      </c>
      <c r="E29" s="578">
        <f>$B$17*$B$18*MAX('Turbine and Duct Burner Hourly'!$C$74:$E$74)</f>
        <v>0</v>
      </c>
      <c r="F29" s="40" t="s">
        <v>27</v>
      </c>
    </row>
    <row r="30" spans="1:6" ht="12.75">
      <c r="A30" s="40" t="s">
        <v>586</v>
      </c>
      <c r="B30" s="578">
        <f>($B$19*$B$20/'Turbine Shutdown Emissions'!$B$3)*MAX('Turbine Shutdown Emissions'!$B$15:$D$15)</f>
        <v>65.76</v>
      </c>
      <c r="C30" s="578">
        <f>($B$19*$B$20/'Turbine Shutdown Emissions'!$B$3)*MAX('Turbine Shutdown Emissions'!$B$17:$D$17)</f>
        <v>25.72</v>
      </c>
      <c r="D30" s="578">
        <f>$B$19*$B$20*MAX('Turbine and Duct Burner Hourly'!$C$67:$E$69)</f>
        <v>3.6</v>
      </c>
      <c r="E30" s="578">
        <f>$B$19*$B$20*MAX('Turbine and Duct Burner Hourly'!$C$76:$E$78)</f>
        <v>6.5</v>
      </c>
      <c r="F30" s="40" t="s">
        <v>290</v>
      </c>
    </row>
    <row r="31" spans="1:6" ht="14.25">
      <c r="A31" s="437" t="s">
        <v>587</v>
      </c>
      <c r="B31" s="579">
        <f>B12*(24-B14-B16-B18-B20)*'Turbine and Duct Burner Hourly'!$I$21</f>
        <v>686.4</v>
      </c>
      <c r="C31" s="580">
        <f>B12*(24-B14-B16-B18-B20)*'Turbine and Duct Burner Hourly'!$I$57</f>
        <v>180.39999999999998</v>
      </c>
      <c r="D31" s="504">
        <f>B12*(24-B14-B16-B18-B20)*'Turbine and Duct Burner Hourly'!$I$65</f>
        <v>180.39999999999998</v>
      </c>
      <c r="E31" s="504">
        <f>B12*(24-B14-B16-B18-B20)*'Turbine and Duct Burner Hourly'!$I$75</f>
        <v>374</v>
      </c>
      <c r="F31" s="47" t="s">
        <v>290</v>
      </c>
    </row>
    <row r="32" spans="1:6" ht="12.75">
      <c r="A32" s="40" t="s">
        <v>165</v>
      </c>
      <c r="B32" s="581">
        <f>SUM(B27:B31)</f>
        <v>1056.12</v>
      </c>
      <c r="C32" s="582">
        <f>SUM(C27:C31)</f>
        <v>258.79999999999995</v>
      </c>
      <c r="D32" s="579">
        <f>SUM(D27:D31)</f>
        <v>194.79999999999998</v>
      </c>
      <c r="E32" s="579">
        <f>SUM(E27:E31)</f>
        <v>400</v>
      </c>
      <c r="F32" s="40" t="s">
        <v>27</v>
      </c>
    </row>
    <row r="33" spans="1:6" ht="12.75">
      <c r="A33" s="40" t="s">
        <v>167</v>
      </c>
      <c r="B33" s="504">
        <f>B32/(24*B12)</f>
        <v>22.002499999999998</v>
      </c>
      <c r="C33" s="504">
        <f>C32/(24*B12)</f>
        <v>5.391666666666666</v>
      </c>
      <c r="D33" s="504">
        <f>D32/(24*B12)</f>
        <v>4.058333333333333</v>
      </c>
      <c r="E33" s="504">
        <f>E32/(24*B12)</f>
        <v>8.333333333333334</v>
      </c>
      <c r="F33" s="40" t="s">
        <v>279</v>
      </c>
    </row>
    <row r="34" spans="1:6" ht="12.75" customHeight="1">
      <c r="A34" s="684" t="s">
        <v>602</v>
      </c>
      <c r="B34" s="684"/>
      <c r="C34" s="684"/>
      <c r="D34" s="684"/>
      <c r="E34" s="684"/>
      <c r="F34" s="684"/>
    </row>
    <row r="35" ht="14.25">
      <c r="A35" s="304" t="s">
        <v>588</v>
      </c>
    </row>
    <row r="36" ht="14.25">
      <c r="A36" s="304"/>
    </row>
    <row r="37" spans="1:9" ht="12.75">
      <c r="A37" s="305" t="s">
        <v>372</v>
      </c>
      <c r="B37" s="661" t="s">
        <v>237</v>
      </c>
      <c r="C37" s="661"/>
      <c r="D37" s="661"/>
      <c r="E37" s="661"/>
      <c r="F37" s="3"/>
      <c r="G37" s="3"/>
      <c r="H37" s="3"/>
      <c r="I37" s="3"/>
    </row>
    <row r="38" spans="1:9" ht="14.25">
      <c r="A38" s="41"/>
      <c r="B38" s="39" t="s">
        <v>282</v>
      </c>
      <c r="C38" s="39" t="s">
        <v>414</v>
      </c>
      <c r="D38" s="39" t="s">
        <v>193</v>
      </c>
      <c r="E38" s="39" t="s">
        <v>234</v>
      </c>
      <c r="G38" s="3"/>
      <c r="H38" s="3"/>
      <c r="I38" s="3"/>
    </row>
    <row r="39" spans="1:9" ht="25.5">
      <c r="A39" s="40" t="s">
        <v>166</v>
      </c>
      <c r="B39" s="504">
        <f>B33</f>
        <v>22.002499999999998</v>
      </c>
      <c r="C39" s="504">
        <f>C33</f>
        <v>5.391666666666666</v>
      </c>
      <c r="D39" s="504">
        <f>D33</f>
        <v>4.058333333333333</v>
      </c>
      <c r="E39" s="504">
        <f>E33</f>
        <v>8.333333333333334</v>
      </c>
      <c r="G39" s="35"/>
      <c r="H39" s="35"/>
      <c r="I39" s="35"/>
    </row>
    <row r="40" spans="1:5" ht="12.75">
      <c r="A40" s="47" t="s">
        <v>344</v>
      </c>
      <c r="B40" s="504">
        <f>'Aux Boiler Emissions'!F27*B21/24</f>
        <v>0.27499999999999997</v>
      </c>
      <c r="C40" s="504">
        <f>'Aux Boiler Emissions'!F29*B21/24</f>
        <v>0.10000000000000002</v>
      </c>
      <c r="D40" s="504">
        <f>'Aux Boiler Emissions'!F30*B21/24</f>
        <v>0.05436883819833752</v>
      </c>
      <c r="E40" s="504">
        <f>'Aux Boiler Emissions'!F32*B21/24</f>
        <v>0.17500000000000002</v>
      </c>
    </row>
    <row r="41" spans="1:5" ht="12.75">
      <c r="A41" s="47" t="s">
        <v>297</v>
      </c>
      <c r="B41" s="504">
        <f>'Emergency Fire Pump Emissions'!F30*B22/24</f>
        <v>0.2101751214385973</v>
      </c>
      <c r="C41" s="504">
        <f>'Emergency Fire Pump Emissions'!$F$32*B22/24</f>
        <v>0.011750699971339757</v>
      </c>
      <c r="D41" s="583">
        <f>'Emergency Fire Pump Emissions'!F33*B22/24</f>
        <v>0.00052585</v>
      </c>
      <c r="E41" s="504">
        <f>'Emergency Fire Pump Emissions'!F35*B22/24</f>
        <v>0.01127302924079749</v>
      </c>
    </row>
    <row r="42" spans="1:5" ht="12.75">
      <c r="A42" s="47" t="s">
        <v>186</v>
      </c>
      <c r="B42" s="584" t="s">
        <v>415</v>
      </c>
      <c r="C42" s="585">
        <f>'Cooling Tower HAPs'!B9*B23/24</f>
        <v>0.14723674199166645</v>
      </c>
      <c r="D42" s="584" t="s">
        <v>415</v>
      </c>
      <c r="E42" s="504">
        <f>'Cooling Tower'!C35*B23/24</f>
        <v>0.8733658300390813</v>
      </c>
    </row>
    <row r="43" spans="4:6" ht="12.75">
      <c r="D43" s="301"/>
      <c r="F43" s="246"/>
    </row>
    <row r="44" spans="1:6" ht="12.75">
      <c r="A44" s="30" t="s">
        <v>307</v>
      </c>
      <c r="D44" s="301"/>
      <c r="F44" s="246"/>
    </row>
    <row r="45" spans="1:6" ht="12.75">
      <c r="A45" s="30"/>
      <c r="D45" s="301"/>
      <c r="F45" s="246"/>
    </row>
    <row r="46" spans="1:9" ht="12.75">
      <c r="A46" s="306" t="s">
        <v>15</v>
      </c>
      <c r="G46" s="307"/>
      <c r="H46" s="307"/>
      <c r="I46" s="307"/>
    </row>
    <row r="47" spans="1:9" ht="12.75">
      <c r="A47" s="47" t="s">
        <v>189</v>
      </c>
      <c r="B47" s="502">
        <f>'Bowie Sources'!B4</f>
        <v>2</v>
      </c>
      <c r="G47" s="307"/>
      <c r="H47" s="307"/>
      <c r="I47" s="307"/>
    </row>
    <row r="48" spans="1:9" ht="12.75">
      <c r="A48" s="47" t="s">
        <v>18</v>
      </c>
      <c r="B48" s="502">
        <f>'Bowie Sources'!B7</f>
        <v>1</v>
      </c>
      <c r="G48" s="307"/>
      <c r="H48" s="307"/>
      <c r="I48" s="307"/>
    </row>
    <row r="49" spans="1:9" ht="12.75">
      <c r="A49" s="308" t="s">
        <v>163</v>
      </c>
      <c r="B49" s="502">
        <f>'Bowie Sources'!B8</f>
        <v>1</v>
      </c>
      <c r="G49" s="307"/>
      <c r="H49" s="307"/>
      <c r="I49" s="307"/>
    </row>
    <row r="50" spans="1:9" ht="12.75">
      <c r="A50" s="308" t="s">
        <v>232</v>
      </c>
      <c r="B50" s="502">
        <f>'Bowie Sources'!B9</f>
        <v>1</v>
      </c>
      <c r="G50" s="307"/>
      <c r="H50" s="307"/>
      <c r="I50" s="307"/>
    </row>
    <row r="51" spans="1:9" ht="12.75">
      <c r="A51" s="307"/>
      <c r="G51" s="307"/>
      <c r="H51" s="307"/>
      <c r="I51" s="307"/>
    </row>
    <row r="52" spans="1:5" ht="12.75">
      <c r="A52" s="30" t="s">
        <v>168</v>
      </c>
      <c r="B52" s="661" t="s">
        <v>263</v>
      </c>
      <c r="C52" s="661"/>
      <c r="D52" s="661"/>
      <c r="E52" s="661"/>
    </row>
    <row r="53" spans="1:8" ht="14.25">
      <c r="A53" s="30"/>
      <c r="B53" s="39" t="s">
        <v>282</v>
      </c>
      <c r="C53" s="39" t="s">
        <v>414</v>
      </c>
      <c r="D53" s="39" t="s">
        <v>193</v>
      </c>
      <c r="E53" s="39" t="s">
        <v>234</v>
      </c>
      <c r="H53" s="3"/>
    </row>
    <row r="54" spans="1:5" ht="25.5">
      <c r="A54" s="40" t="s">
        <v>57</v>
      </c>
      <c r="B54" s="504">
        <f>B39*24/2000</f>
        <v>0.26403</v>
      </c>
      <c r="C54" s="504">
        <f aca="true" t="shared" si="0" ref="B54:C56">C39*24/2000</f>
        <v>0.0647</v>
      </c>
      <c r="D54" s="504">
        <f aca="true" t="shared" si="1" ref="D54:E56">D39*24/2000</f>
        <v>0.048699999999999986</v>
      </c>
      <c r="E54" s="504">
        <f t="shared" si="1"/>
        <v>0.1</v>
      </c>
    </row>
    <row r="55" spans="1:5" ht="12.75">
      <c r="A55" s="40" t="s">
        <v>238</v>
      </c>
      <c r="B55" s="504">
        <f t="shared" si="0"/>
        <v>0.0033</v>
      </c>
      <c r="C55" s="586">
        <f t="shared" si="0"/>
        <v>0.0012000000000000001</v>
      </c>
      <c r="D55" s="583">
        <f t="shared" si="1"/>
        <v>0.0006524260583800503</v>
      </c>
      <c r="E55" s="586">
        <f t="shared" si="1"/>
        <v>0.0021000000000000003</v>
      </c>
    </row>
    <row r="56" spans="1:5" ht="12.75">
      <c r="A56" s="40" t="s">
        <v>239</v>
      </c>
      <c r="B56" s="586">
        <f t="shared" si="0"/>
        <v>0.0025221014572631676</v>
      </c>
      <c r="C56" s="583">
        <f t="shared" si="0"/>
        <v>0.0001410083996560771</v>
      </c>
      <c r="D56" s="628">
        <f t="shared" si="1"/>
        <v>6.3102E-06</v>
      </c>
      <c r="E56" s="583">
        <f t="shared" si="1"/>
        <v>0.00013527635088956988</v>
      </c>
    </row>
    <row r="57" spans="1:5" ht="12.75">
      <c r="A57" s="40" t="s">
        <v>196</v>
      </c>
      <c r="B57" s="584" t="s">
        <v>415</v>
      </c>
      <c r="C57" s="586">
        <f>C42*24/2000</f>
        <v>0.0017668409038999972</v>
      </c>
      <c r="D57" s="584" t="s">
        <v>415</v>
      </c>
      <c r="E57" s="586">
        <f>E42*24/2000</f>
        <v>0.010480389960468977</v>
      </c>
    </row>
    <row r="58" spans="2:4" ht="12.75">
      <c r="B58" s="309"/>
      <c r="C58" s="35"/>
      <c r="D58" s="246"/>
    </row>
    <row r="59" spans="1:5" ht="12.75">
      <c r="A59" s="30" t="s">
        <v>169</v>
      </c>
      <c r="B59" s="661" t="s">
        <v>263</v>
      </c>
      <c r="C59" s="661"/>
      <c r="D59" s="661"/>
      <c r="E59" s="661"/>
    </row>
    <row r="60" spans="1:5" ht="14.25">
      <c r="A60" s="30"/>
      <c r="B60" s="39" t="s">
        <v>282</v>
      </c>
      <c r="C60" s="39" t="s">
        <v>414</v>
      </c>
      <c r="D60" s="39" t="s">
        <v>193</v>
      </c>
      <c r="E60" s="39" t="s">
        <v>234</v>
      </c>
    </row>
    <row r="61" spans="1:5" ht="25.5">
      <c r="A61" s="40" t="s">
        <v>264</v>
      </c>
      <c r="B61" s="504">
        <f>B54*B47</f>
        <v>0.52806</v>
      </c>
      <c r="C61" s="504">
        <f>C54*B47</f>
        <v>0.1294</v>
      </c>
      <c r="D61" s="504">
        <f>D54*B47</f>
        <v>0.09739999999999997</v>
      </c>
      <c r="E61" s="504">
        <f>E54*B47</f>
        <v>0.2</v>
      </c>
    </row>
    <row r="62" spans="1:5" ht="12.75">
      <c r="A62" s="40" t="s">
        <v>641</v>
      </c>
      <c r="B62" s="504">
        <f>B55*B48</f>
        <v>0.0033</v>
      </c>
      <c r="C62" s="586">
        <f>C55*B48</f>
        <v>0.0012000000000000001</v>
      </c>
      <c r="D62" s="586">
        <f>D55*B48</f>
        <v>0.0006524260583800503</v>
      </c>
      <c r="E62" s="586">
        <f>E55*B48</f>
        <v>0.0021000000000000003</v>
      </c>
    </row>
    <row r="63" spans="1:5" ht="12.75">
      <c r="A63" s="40" t="s">
        <v>297</v>
      </c>
      <c r="B63" s="504">
        <f>B56*B49</f>
        <v>0.0025221014572631676</v>
      </c>
      <c r="C63" s="583">
        <f>C56*B49</f>
        <v>0.0001410083996560771</v>
      </c>
      <c r="D63" s="586">
        <f>D56*B49</f>
        <v>6.3102E-06</v>
      </c>
      <c r="E63" s="583">
        <f>E56*B49</f>
        <v>0.00013527635088956988</v>
      </c>
    </row>
    <row r="64" spans="1:5" ht="12.75">
      <c r="A64" s="40" t="s">
        <v>186</v>
      </c>
      <c r="B64" s="584" t="s">
        <v>415</v>
      </c>
      <c r="C64" s="586">
        <f>C57*B50</f>
        <v>0.0017668409038999972</v>
      </c>
      <c r="D64" s="584" t="s">
        <v>415</v>
      </c>
      <c r="E64" s="586">
        <f>E57*B50</f>
        <v>0.010480389960468977</v>
      </c>
    </row>
    <row r="65" spans="2:4" ht="12.75">
      <c r="B65" s="302"/>
      <c r="C65" s="302"/>
      <c r="D65" s="302"/>
    </row>
    <row r="66" spans="2:4" ht="12.75">
      <c r="B66" s="302"/>
      <c r="C66" s="302"/>
      <c r="D66" s="302"/>
    </row>
  </sheetData>
  <sheetProtection/>
  <mergeCells count="8">
    <mergeCell ref="B59:E59"/>
    <mergeCell ref="B37:E37"/>
    <mergeCell ref="A1:G1"/>
    <mergeCell ref="B52:E52"/>
    <mergeCell ref="A26:E26"/>
    <mergeCell ref="A34:F34"/>
    <mergeCell ref="C14:E14"/>
    <mergeCell ref="C20:E20"/>
  </mergeCells>
  <printOptions horizontalCentered="1"/>
  <pageMargins left="0.75" right="0.75" top="1" bottom="1" header="0.5" footer="0.5"/>
  <pageSetup fitToHeight="0" fitToWidth="1" horizontalDpi="600" verticalDpi="600" orientation="landscape" scale="70" r:id="rId2"/>
  <headerFooter alignWithMargins="0">
    <oddFooter>&amp;L&amp;D
&amp;C&amp;P of &amp;N&amp;R&amp;A</oddFooter>
  </headerFooter>
  <rowBreaks count="1" manualBreakCount="1">
    <brk id="43"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9" sqref="E9"/>
    </sheetView>
  </sheetViews>
  <sheetFormatPr defaultColWidth="11.421875" defaultRowHeight="12.75"/>
  <cols>
    <col min="1" max="1" width="142.00390625" style="5" customWidth="1"/>
    <col min="2" max="16384" width="11.421875" style="5" customWidth="1"/>
  </cols>
  <sheetData>
    <row r="1" ht="31.5">
      <c r="A1" s="126" t="s">
        <v>544</v>
      </c>
    </row>
    <row r="3" ht="12.75">
      <c r="A3" s="29" t="s">
        <v>89</v>
      </c>
    </row>
    <row r="4" ht="12.75">
      <c r="A4" s="124" t="s">
        <v>145</v>
      </c>
    </row>
    <row r="5" ht="15.75">
      <c r="A5" s="471" t="s">
        <v>604</v>
      </c>
    </row>
    <row r="6" ht="15.75">
      <c r="A6" s="471" t="s">
        <v>549</v>
      </c>
    </row>
    <row r="7" ht="12.75">
      <c r="A7" s="51" t="s">
        <v>404</v>
      </c>
    </row>
    <row r="9" ht="12.75">
      <c r="A9" s="124" t="s">
        <v>144</v>
      </c>
    </row>
    <row r="10" ht="15.75">
      <c r="A10" s="471" t="s">
        <v>605</v>
      </c>
    </row>
    <row r="11" ht="15.75">
      <c r="A11" s="471" t="s">
        <v>606</v>
      </c>
    </row>
    <row r="13" ht="12.75">
      <c r="A13" s="29" t="s">
        <v>90</v>
      </c>
    </row>
    <row r="14" ht="15.75">
      <c r="A14" s="437" t="s">
        <v>550</v>
      </c>
    </row>
    <row r="15" ht="15.75">
      <c r="A15" s="471" t="s">
        <v>619</v>
      </c>
    </row>
    <row r="16" ht="12.75">
      <c r="A16" s="55" t="s">
        <v>365</v>
      </c>
    </row>
    <row r="18" ht="12.75">
      <c r="A18" s="29" t="s">
        <v>214</v>
      </c>
    </row>
    <row r="19" ht="15.75">
      <c r="A19" s="422" t="s">
        <v>497</v>
      </c>
    </row>
    <row r="20" ht="15.75">
      <c r="A20" s="422" t="s">
        <v>498</v>
      </c>
    </row>
    <row r="21" ht="12.75">
      <c r="A21" s="422" t="s">
        <v>494</v>
      </c>
    </row>
    <row r="23" ht="12.75">
      <c r="A23" s="29" t="s">
        <v>256</v>
      </c>
    </row>
    <row r="24" ht="15.75">
      <c r="A24" s="422" t="s">
        <v>495</v>
      </c>
    </row>
    <row r="25" s="436" customFormat="1" ht="15.75">
      <c r="A25" s="54" t="s">
        <v>499</v>
      </c>
    </row>
    <row r="26" s="436" customFormat="1" ht="12.75">
      <c r="A26" s="54" t="s">
        <v>500</v>
      </c>
    </row>
    <row r="29" ht="12.75">
      <c r="A29" s="29" t="s">
        <v>210</v>
      </c>
    </row>
    <row r="30" ht="28.5">
      <c r="A30" s="402" t="s">
        <v>484</v>
      </c>
    </row>
    <row r="31" ht="12.75">
      <c r="A31" s="40" t="s">
        <v>212</v>
      </c>
    </row>
    <row r="32" ht="12.75">
      <c r="A32" s="51" t="s">
        <v>211</v>
      </c>
    </row>
    <row r="34" ht="12.75">
      <c r="A34" s="29" t="s">
        <v>213</v>
      </c>
    </row>
    <row r="35" ht="12.75">
      <c r="A35" s="51" t="s">
        <v>211</v>
      </c>
    </row>
    <row r="37" ht="12.75">
      <c r="A37" s="29" t="s">
        <v>501</v>
      </c>
    </row>
    <row r="38" spans="1:12" ht="12.75" customHeight="1">
      <c r="A38" s="437" t="s">
        <v>539</v>
      </c>
      <c r="B38" s="454"/>
      <c r="C38" s="454"/>
      <c r="D38" s="454"/>
      <c r="E38" s="454"/>
      <c r="F38" s="454"/>
      <c r="G38" s="454"/>
      <c r="H38" s="454"/>
      <c r="I38" s="454"/>
      <c r="J38" s="454"/>
      <c r="K38" s="454"/>
      <c r="L38" s="454"/>
    </row>
    <row r="39" spans="1:12" ht="18" customHeight="1">
      <c r="A39" s="437" t="s">
        <v>540</v>
      </c>
      <c r="B39" s="454"/>
      <c r="C39" s="454"/>
      <c r="D39" s="454"/>
      <c r="E39" s="454"/>
      <c r="F39" s="454"/>
      <c r="G39" s="454"/>
      <c r="H39" s="454"/>
      <c r="I39" s="454"/>
      <c r="J39" s="454"/>
      <c r="K39" s="454"/>
      <c r="L39" s="454"/>
    </row>
    <row r="40" spans="1:12" ht="18" customHeight="1">
      <c r="A40" s="437" t="s">
        <v>541</v>
      </c>
      <c r="B40" s="454"/>
      <c r="C40" s="454"/>
      <c r="D40" s="454"/>
      <c r="E40" s="454"/>
      <c r="F40" s="454"/>
      <c r="G40" s="454"/>
      <c r="H40" s="454"/>
      <c r="I40" s="454"/>
      <c r="J40" s="454"/>
      <c r="K40" s="454"/>
      <c r="L40" s="454"/>
    </row>
    <row r="41" spans="1:12" ht="32.25" customHeight="1">
      <c r="A41" s="437" t="s">
        <v>538</v>
      </c>
      <c r="B41" s="454"/>
      <c r="C41" s="454"/>
      <c r="D41" s="454"/>
      <c r="E41" s="454"/>
      <c r="F41" s="454"/>
      <c r="G41" s="454"/>
      <c r="H41" s="454"/>
      <c r="I41" s="454"/>
      <c r="J41" s="454"/>
      <c r="K41" s="454"/>
      <c r="L41" s="454"/>
    </row>
  </sheetData>
  <sheetProtection/>
  <printOptions/>
  <pageMargins left="0.75" right="0.75" top="1" bottom="1" header="0.5" footer="0.5"/>
  <pageSetup fitToHeight="1" fitToWidth="1" horizontalDpi="600" verticalDpi="600" orientation="landscape" scale="78" r:id="rId1"/>
  <headerFooter alignWithMargins="0">
    <oddFooter>&amp;L&amp;D
&amp;C&amp;P of &amp;N&amp;R&amp;A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36"/>
  <sheetViews>
    <sheetView zoomScale="90" zoomScaleNormal="90" zoomScalePageLayoutView="0" workbookViewId="0" topLeftCell="A1">
      <selection activeCell="B15" sqref="B15"/>
    </sheetView>
  </sheetViews>
  <sheetFormatPr defaultColWidth="8.7109375" defaultRowHeight="12.75"/>
  <cols>
    <col min="1" max="1" width="44.00390625" style="0" customWidth="1"/>
    <col min="2" max="2" width="9.7109375" style="0" bestFit="1" customWidth="1"/>
    <col min="3" max="3" width="11.140625" style="0" bestFit="1" customWidth="1"/>
    <col min="4" max="4" width="11.140625" style="0" customWidth="1"/>
    <col min="5" max="5" width="9.7109375" style="0" bestFit="1" customWidth="1"/>
    <col min="6" max="6" width="9.421875" style="0" bestFit="1" customWidth="1"/>
    <col min="7" max="7" width="12.421875" style="0" customWidth="1"/>
    <col min="8" max="8" width="9.7109375" style="0" bestFit="1" customWidth="1"/>
    <col min="9" max="9" width="17.00390625" style="0" customWidth="1"/>
    <col min="10" max="12" width="8.7109375" style="0" customWidth="1"/>
    <col min="13" max="13" width="16.57421875" style="0" customWidth="1"/>
  </cols>
  <sheetData>
    <row r="1" spans="1:13" ht="36" customHeight="1">
      <c r="A1" s="664" t="s">
        <v>545</v>
      </c>
      <c r="B1" s="664"/>
      <c r="C1" s="664"/>
      <c r="D1" s="664"/>
      <c r="E1" s="664"/>
      <c r="F1" s="664"/>
      <c r="G1" s="664"/>
      <c r="H1" s="664"/>
      <c r="I1" s="664"/>
      <c r="J1" s="664"/>
      <c r="K1" s="664"/>
      <c r="L1" s="664"/>
      <c r="M1" s="664"/>
    </row>
    <row r="3" ht="12.75">
      <c r="A3" s="10" t="s">
        <v>15</v>
      </c>
    </row>
    <row r="4" spans="1:2" ht="12.75">
      <c r="A4" s="71" t="s">
        <v>189</v>
      </c>
      <c r="B4" s="59">
        <f>'Bowie Sources'!B4</f>
        <v>2</v>
      </c>
    </row>
    <row r="5" spans="1:2" ht="12.75">
      <c r="A5" s="71" t="s">
        <v>18</v>
      </c>
      <c r="B5" s="59">
        <f>'Bowie Sources'!B7</f>
        <v>1</v>
      </c>
    </row>
    <row r="6" spans="1:2" ht="12.75">
      <c r="A6" s="105" t="s">
        <v>163</v>
      </c>
      <c r="B6" s="59">
        <f>'Bowie Sources'!B8</f>
        <v>1</v>
      </c>
    </row>
    <row r="7" spans="1:2" ht="12.75">
      <c r="A7" s="105" t="s">
        <v>232</v>
      </c>
      <c r="B7" s="59">
        <f>'Bowie Sources'!B9</f>
        <v>1</v>
      </c>
    </row>
    <row r="8" spans="1:2" ht="12.75">
      <c r="A8" s="105" t="s">
        <v>326</v>
      </c>
      <c r="B8" s="59">
        <f>'Bowie Sources'!B11</f>
        <v>1</v>
      </c>
    </row>
    <row r="9" spans="1:2" ht="12.75">
      <c r="A9" s="103" t="s">
        <v>505</v>
      </c>
      <c r="B9" s="59">
        <f>'Bowie Sources'!B14</f>
        <v>5</v>
      </c>
    </row>
    <row r="10" spans="1:2" ht="12.75">
      <c r="A10" s="228"/>
      <c r="B10" s="6"/>
    </row>
    <row r="11" spans="1:8" ht="15.75">
      <c r="A11" s="598" t="s">
        <v>634</v>
      </c>
      <c r="B11" s="598"/>
      <c r="C11" s="598"/>
      <c r="D11" s="598"/>
      <c r="E11" s="598"/>
      <c r="F11" s="598"/>
      <c r="G11" s="598"/>
      <c r="H11" s="7"/>
    </row>
    <row r="12" spans="2:13" ht="12.75">
      <c r="B12" s="663" t="s">
        <v>233</v>
      </c>
      <c r="C12" s="663"/>
      <c r="D12" s="663"/>
      <c r="E12" s="663"/>
      <c r="F12" s="663"/>
      <c r="G12" s="663"/>
      <c r="H12" s="663"/>
      <c r="I12" s="663"/>
      <c r="J12" s="663"/>
      <c r="K12" s="663"/>
      <c r="L12" s="663"/>
      <c r="M12" s="663"/>
    </row>
    <row r="13" spans="1:13" ht="14.25">
      <c r="A13" s="2"/>
      <c r="B13" s="370" t="s">
        <v>282</v>
      </c>
      <c r="C13" s="370" t="s">
        <v>191</v>
      </c>
      <c r="D13" s="370" t="s">
        <v>280</v>
      </c>
      <c r="E13" s="370" t="s">
        <v>193</v>
      </c>
      <c r="F13" s="370" t="s">
        <v>277</v>
      </c>
      <c r="G13" s="370" t="s">
        <v>429</v>
      </c>
      <c r="H13" s="33" t="s">
        <v>430</v>
      </c>
      <c r="I13" s="221" t="s">
        <v>325</v>
      </c>
      <c r="J13" s="221" t="s">
        <v>327</v>
      </c>
      <c r="K13" s="221" t="s">
        <v>328</v>
      </c>
      <c r="L13" s="221" t="s">
        <v>507</v>
      </c>
      <c r="M13" s="221" t="s">
        <v>571</v>
      </c>
    </row>
    <row r="14" spans="1:13" ht="12.75">
      <c r="A14" s="71" t="s">
        <v>187</v>
      </c>
      <c r="B14" s="533">
        <f>'Turbine and Duct Burner Annual'!E22</f>
        <v>69.4671625</v>
      </c>
      <c r="C14" s="533">
        <f>'Turbine and Duct Burner Annual'!E36</f>
        <v>80.5419625</v>
      </c>
      <c r="D14" s="533">
        <f>'Turbine and Duct Burner Annual'!E50</f>
        <v>14.970840625000001</v>
      </c>
      <c r="E14" s="533">
        <f>'Turbine and Duct Burner Annual'!E57</f>
        <v>15.001324999999998</v>
      </c>
      <c r="F14" s="533">
        <f>'Turbine and Duct Burner Annual'!E64</f>
        <v>31.2705</v>
      </c>
      <c r="G14" s="533">
        <f>'Turbine and Duct Burner Annual'!E64</f>
        <v>31.2705</v>
      </c>
      <c r="H14" s="499">
        <f>'Turbine and Duct Burner Annual'!E64</f>
        <v>31.2705</v>
      </c>
      <c r="I14" s="482">
        <f>'GHG Emissions'!I25</f>
        <v>875542.252206731</v>
      </c>
      <c r="J14" s="482">
        <f>'GHG Emissions'!J25</f>
        <v>16.50845160838125</v>
      </c>
      <c r="K14" s="482">
        <f>'GHG Emissions'!K25</f>
        <v>1.650845160838125</v>
      </c>
      <c r="L14" s="113" t="s">
        <v>222</v>
      </c>
      <c r="M14" s="489">
        <f>'GHG Emissions'!$B$35</f>
        <v>876400.6916903668</v>
      </c>
    </row>
    <row r="15" spans="1:13" ht="12.75">
      <c r="A15" s="71" t="s">
        <v>238</v>
      </c>
      <c r="B15" s="111">
        <f>'Aux Boiler Emissions'!G27</f>
        <v>0.12374999999999999</v>
      </c>
      <c r="C15" s="111">
        <f>'Aux Boiler Emissions'!G28</f>
        <v>0.41624999999999995</v>
      </c>
      <c r="D15" s="111">
        <f>'Aux Boiler Emissions'!G29</f>
        <v>0.045</v>
      </c>
      <c r="E15" s="111">
        <f>'Aux Boiler Emissions'!G30</f>
        <v>0.02446597718925189</v>
      </c>
      <c r="F15" s="111">
        <f>'Aux Boiler Emissions'!G31</f>
        <v>0.07875000000000001</v>
      </c>
      <c r="G15" s="111">
        <f>'Aux Boiler Emissions'!G32</f>
        <v>0.07875000000000001</v>
      </c>
      <c r="H15" s="118">
        <f>'Aux Boiler Emissions'!G32</f>
        <v>0.07875000000000001</v>
      </c>
      <c r="I15" s="482">
        <f>'GHG Emissions'!I26</f>
        <v>1315.227375</v>
      </c>
      <c r="J15" s="482">
        <f>'GHG Emissions'!J26</f>
        <v>0.024806250000000002</v>
      </c>
      <c r="K15" s="484">
        <f>'GHG Emissions'!K26</f>
        <v>0.0024806249999999998</v>
      </c>
      <c r="L15" s="113" t="s">
        <v>222</v>
      </c>
      <c r="M15" s="489">
        <f>'GHG Emissions'!$B$36</f>
        <v>1316.5173</v>
      </c>
    </row>
    <row r="16" spans="1:13" ht="12.75">
      <c r="A16" s="71" t="s">
        <v>239</v>
      </c>
      <c r="B16" s="111">
        <f>'Emergency Fire Pump Emissions'!G30</f>
        <v>0.06305253643157918</v>
      </c>
      <c r="C16" s="111">
        <f>'Emergency Fire Pump Emissions'!G31</f>
        <v>0.040611565510703496</v>
      </c>
      <c r="D16" s="112">
        <f>'Emergency Fire Pump Emissions'!G32</f>
        <v>0.0035252099914019268</v>
      </c>
      <c r="E16" s="629">
        <f>'Emergency Fire Pump Emissions'!G33</f>
        <v>0.000157755</v>
      </c>
      <c r="F16" s="112">
        <f>'Emergency Fire Pump Emissions'!G34</f>
        <v>0.003381908772239247</v>
      </c>
      <c r="G16" s="112">
        <f>'Emergency Fire Pump Emissions'!G35</f>
        <v>0.003381908772239247</v>
      </c>
      <c r="H16" s="371">
        <f>'Emergency Fire Pump Emissions'!G35</f>
        <v>0.003381908772239247</v>
      </c>
      <c r="I16" s="118">
        <f>'GHG Emissions'!I27</f>
        <v>14.969278421999999</v>
      </c>
      <c r="J16" s="485">
        <f>'GHG Emissions'!J27</f>
        <v>0.00060719085</v>
      </c>
      <c r="K16" s="485">
        <f>'GHG Emissions'!K27</f>
        <v>0.00012143817</v>
      </c>
      <c r="L16" s="113" t="s">
        <v>222</v>
      </c>
      <c r="M16" s="489">
        <f>'GHG Emissions'!$B$37</f>
        <v>15.019675262549999</v>
      </c>
    </row>
    <row r="17" spans="1:13" ht="12.75">
      <c r="A17" s="71" t="s">
        <v>196</v>
      </c>
      <c r="B17" s="113" t="s">
        <v>222</v>
      </c>
      <c r="C17" s="113" t="s">
        <v>222</v>
      </c>
      <c r="D17" s="114">
        <f>'Cooling Tower HAPs'!B10</f>
        <v>0.644896929923499</v>
      </c>
      <c r="E17" s="113" t="s">
        <v>222</v>
      </c>
      <c r="F17" s="111">
        <f>'Cooling Tower'!D34</f>
        <v>5.669955587187549</v>
      </c>
      <c r="G17" s="111">
        <f>'Cooling Tower'!D35</f>
        <v>3.825342335571176</v>
      </c>
      <c r="H17" s="111">
        <f>'Cooling Tower'!D36</f>
        <v>1.823016750068919</v>
      </c>
      <c r="I17" s="113" t="s">
        <v>222</v>
      </c>
      <c r="J17" s="113" t="s">
        <v>222</v>
      </c>
      <c r="K17" s="113" t="s">
        <v>222</v>
      </c>
      <c r="L17" s="113" t="s">
        <v>222</v>
      </c>
      <c r="M17" s="113" t="s">
        <v>222</v>
      </c>
    </row>
    <row r="18" spans="1:13" ht="12.75">
      <c r="A18" s="71" t="s">
        <v>146</v>
      </c>
      <c r="B18" s="113" t="s">
        <v>222</v>
      </c>
      <c r="C18" s="113" t="s">
        <v>222</v>
      </c>
      <c r="D18" s="115">
        <f>'Evaporation Pond Emissions'!B8</f>
        <v>0.0002154521130952381</v>
      </c>
      <c r="E18" s="113" t="s">
        <v>222</v>
      </c>
      <c r="F18" s="113" t="s">
        <v>222</v>
      </c>
      <c r="G18" s="113" t="s">
        <v>222</v>
      </c>
      <c r="H18" s="113" t="s">
        <v>222</v>
      </c>
      <c r="I18" s="113" t="s">
        <v>222</v>
      </c>
      <c r="J18" s="113" t="s">
        <v>222</v>
      </c>
      <c r="K18" s="113" t="s">
        <v>222</v>
      </c>
      <c r="L18" s="113" t="s">
        <v>222</v>
      </c>
      <c r="M18" s="113" t="s">
        <v>222</v>
      </c>
    </row>
    <row r="19" spans="1:13" ht="12.75">
      <c r="A19" s="437" t="s">
        <v>505</v>
      </c>
      <c r="B19" s="113" t="s">
        <v>222</v>
      </c>
      <c r="C19" s="113" t="s">
        <v>222</v>
      </c>
      <c r="D19" s="113" t="s">
        <v>222</v>
      </c>
      <c r="E19" s="113" t="s">
        <v>222</v>
      </c>
      <c r="F19" s="113" t="s">
        <v>222</v>
      </c>
      <c r="G19" s="113" t="s">
        <v>222</v>
      </c>
      <c r="H19" s="113" t="s">
        <v>222</v>
      </c>
      <c r="I19" s="113" t="s">
        <v>222</v>
      </c>
      <c r="J19" s="113" t="s">
        <v>222</v>
      </c>
      <c r="K19" s="113" t="s">
        <v>222</v>
      </c>
      <c r="L19" s="491">
        <f>'GHG Emissions'!L28</f>
        <v>0.00017999999999999998</v>
      </c>
      <c r="M19" s="490">
        <f>'GHG Emissions'!$B$38</f>
        <v>4.302</v>
      </c>
    </row>
    <row r="20" spans="1:8" ht="15.75">
      <c r="A20" s="662"/>
      <c r="B20" s="662"/>
      <c r="C20" s="662"/>
      <c r="D20" s="662"/>
      <c r="E20" s="662"/>
      <c r="F20" s="662"/>
      <c r="G20" s="662"/>
      <c r="H20" s="662"/>
    </row>
    <row r="21" spans="1:8" ht="15.75">
      <c r="A21" s="598" t="s">
        <v>635</v>
      </c>
      <c r="B21" s="7"/>
      <c r="C21" s="7"/>
      <c r="D21" s="7"/>
      <c r="E21" s="7"/>
      <c r="F21" s="7"/>
      <c r="G21" s="7"/>
      <c r="H21" s="7"/>
    </row>
    <row r="22" spans="2:13" ht="15.75" customHeight="1">
      <c r="B22" s="663" t="s">
        <v>20</v>
      </c>
      <c r="C22" s="663"/>
      <c r="D22" s="663"/>
      <c r="E22" s="663"/>
      <c r="F22" s="663"/>
      <c r="G22" s="663"/>
      <c r="H22" s="663"/>
      <c r="I22" s="663"/>
      <c r="J22" s="663"/>
      <c r="K22" s="663"/>
      <c r="L22" s="663"/>
      <c r="M22" s="663"/>
    </row>
    <row r="23" spans="1:13" ht="14.25">
      <c r="A23" s="57" t="s">
        <v>19</v>
      </c>
      <c r="B23" s="370" t="s">
        <v>282</v>
      </c>
      <c r="C23" s="370" t="s">
        <v>191</v>
      </c>
      <c r="D23" s="370" t="s">
        <v>280</v>
      </c>
      <c r="E23" s="370" t="s">
        <v>193</v>
      </c>
      <c r="F23" s="370" t="s">
        <v>277</v>
      </c>
      <c r="G23" s="370" t="s">
        <v>429</v>
      </c>
      <c r="H23" s="33" t="s">
        <v>430</v>
      </c>
      <c r="I23" s="221" t="s">
        <v>325</v>
      </c>
      <c r="J23" s="221" t="s">
        <v>327</v>
      </c>
      <c r="K23" s="221" t="s">
        <v>328</v>
      </c>
      <c r="L23" s="221" t="s">
        <v>507</v>
      </c>
      <c r="M23" s="221" t="s">
        <v>571</v>
      </c>
    </row>
    <row r="24" spans="1:13" ht="12.75">
      <c r="A24" s="59" t="s">
        <v>188</v>
      </c>
      <c r="B24" s="534">
        <f aca="true" t="shared" si="0" ref="B24:K24">B14*$B$4</f>
        <v>138.934325</v>
      </c>
      <c r="C24" s="534">
        <f t="shared" si="0"/>
        <v>161.083925</v>
      </c>
      <c r="D24" s="534">
        <f t="shared" si="0"/>
        <v>29.941681250000002</v>
      </c>
      <c r="E24" s="534">
        <f t="shared" si="0"/>
        <v>30.002649999999996</v>
      </c>
      <c r="F24" s="534">
        <f t="shared" si="0"/>
        <v>62.541</v>
      </c>
      <c r="G24" s="534">
        <f t="shared" si="0"/>
        <v>62.541</v>
      </c>
      <c r="H24" s="534">
        <f t="shared" si="0"/>
        <v>62.541</v>
      </c>
      <c r="I24" s="483">
        <f t="shared" si="0"/>
        <v>1751084.504413462</v>
      </c>
      <c r="J24" s="230">
        <f t="shared" si="0"/>
        <v>33.0169032167625</v>
      </c>
      <c r="K24" s="230">
        <f t="shared" si="0"/>
        <v>3.30169032167625</v>
      </c>
      <c r="L24" s="113" t="s">
        <v>222</v>
      </c>
      <c r="M24" s="487">
        <f>M14*$B$4</f>
        <v>1752801.3833807337</v>
      </c>
    </row>
    <row r="25" spans="1:13" ht="12.75">
      <c r="A25" s="59" t="s">
        <v>21</v>
      </c>
      <c r="B25" s="230">
        <f aca="true" t="shared" si="1" ref="B25:G25">B15*$B$5</f>
        <v>0.12374999999999999</v>
      </c>
      <c r="C25" s="230">
        <f t="shared" si="1"/>
        <v>0.41624999999999995</v>
      </c>
      <c r="D25" s="230">
        <f t="shared" si="1"/>
        <v>0.045</v>
      </c>
      <c r="E25" s="230">
        <f t="shared" si="1"/>
        <v>0.02446597718925189</v>
      </c>
      <c r="F25" s="230">
        <f t="shared" si="1"/>
        <v>0.07875000000000001</v>
      </c>
      <c r="G25" s="230">
        <f t="shared" si="1"/>
        <v>0.07875000000000001</v>
      </c>
      <c r="H25" s="230">
        <f>H15*$B$5</f>
        <v>0.07875000000000001</v>
      </c>
      <c r="I25" s="230">
        <f>I15*$B$5</f>
        <v>1315.227375</v>
      </c>
      <c r="J25" s="230">
        <f>J15*$B$5</f>
        <v>0.024806250000000002</v>
      </c>
      <c r="K25" s="231">
        <f>K15*$B$5</f>
        <v>0.0024806249999999998</v>
      </c>
      <c r="L25" s="107" t="s">
        <v>222</v>
      </c>
      <c r="M25" s="487">
        <f>M15*$B$5</f>
        <v>1316.5173</v>
      </c>
    </row>
    <row r="26" spans="1:13" ht="12.75">
      <c r="A26" s="59" t="s">
        <v>22</v>
      </c>
      <c r="B26" s="230">
        <f aca="true" t="shared" si="2" ref="B26:G26">B16*$B$6</f>
        <v>0.06305253643157918</v>
      </c>
      <c r="C26" s="230">
        <f t="shared" si="2"/>
        <v>0.040611565510703496</v>
      </c>
      <c r="D26" s="231">
        <f t="shared" si="2"/>
        <v>0.0035252099914019268</v>
      </c>
      <c r="E26" s="230">
        <f t="shared" si="2"/>
        <v>0.000157755</v>
      </c>
      <c r="F26" s="231">
        <f t="shared" si="2"/>
        <v>0.003381908772239247</v>
      </c>
      <c r="G26" s="231">
        <f t="shared" si="2"/>
        <v>0.003381908772239247</v>
      </c>
      <c r="H26" s="231">
        <f>H16*$B$6</f>
        <v>0.003381908772239247</v>
      </c>
      <c r="I26" s="231">
        <f>I16*$B$6</f>
        <v>14.969278421999999</v>
      </c>
      <c r="J26" s="231">
        <f>J16*$B$6</f>
        <v>0.00060719085</v>
      </c>
      <c r="K26" s="641">
        <f>K16*$B$6</f>
        <v>0.00012143817</v>
      </c>
      <c r="L26" s="107" t="s">
        <v>222</v>
      </c>
      <c r="M26" s="122">
        <f>M16*$B$6</f>
        <v>15.019675262549999</v>
      </c>
    </row>
    <row r="27" spans="1:13" ht="12.75">
      <c r="A27" s="59" t="s">
        <v>23</v>
      </c>
      <c r="B27" s="107" t="s">
        <v>222</v>
      </c>
      <c r="C27" s="107" t="s">
        <v>222</v>
      </c>
      <c r="D27" s="106">
        <f>D17*B7</f>
        <v>0.644896929923499</v>
      </c>
      <c r="E27" s="107" t="s">
        <v>222</v>
      </c>
      <c r="F27" s="106">
        <f>F17*B7</f>
        <v>5.669955587187549</v>
      </c>
      <c r="G27" s="106">
        <f>G17*$B$7</f>
        <v>3.825342335571176</v>
      </c>
      <c r="H27" s="106">
        <f>H17*$B$7</f>
        <v>1.823016750068919</v>
      </c>
      <c r="I27" s="113" t="s">
        <v>222</v>
      </c>
      <c r="J27" s="113" t="s">
        <v>222</v>
      </c>
      <c r="K27" s="113" t="s">
        <v>222</v>
      </c>
      <c r="L27" s="107" t="s">
        <v>222</v>
      </c>
      <c r="M27" s="488" t="s">
        <v>222</v>
      </c>
    </row>
    <row r="28" spans="1:13" ht="12.75">
      <c r="A28" s="59" t="s">
        <v>132</v>
      </c>
      <c r="B28" s="107" t="s">
        <v>222</v>
      </c>
      <c r="C28" s="107" t="s">
        <v>222</v>
      </c>
      <c r="D28" s="229">
        <f>D18*B8</f>
        <v>0.0002154521130952381</v>
      </c>
      <c r="E28" s="107" t="s">
        <v>222</v>
      </c>
      <c r="F28" s="107" t="s">
        <v>222</v>
      </c>
      <c r="G28" s="107" t="s">
        <v>222</v>
      </c>
      <c r="H28" s="107" t="s">
        <v>222</v>
      </c>
      <c r="I28" s="107" t="s">
        <v>222</v>
      </c>
      <c r="J28" s="107" t="s">
        <v>222</v>
      </c>
      <c r="K28" s="107" t="s">
        <v>222</v>
      </c>
      <c r="L28" s="107" t="s">
        <v>222</v>
      </c>
      <c r="M28" s="488" t="s">
        <v>222</v>
      </c>
    </row>
    <row r="29" spans="1:13" ht="12.75">
      <c r="A29" s="437" t="s">
        <v>505</v>
      </c>
      <c r="B29" s="113" t="s">
        <v>222</v>
      </c>
      <c r="C29" s="113" t="s">
        <v>222</v>
      </c>
      <c r="D29" s="113" t="s">
        <v>222</v>
      </c>
      <c r="E29" s="113" t="s">
        <v>222</v>
      </c>
      <c r="F29" s="113" t="s">
        <v>222</v>
      </c>
      <c r="G29" s="113" t="s">
        <v>222</v>
      </c>
      <c r="H29" s="113" t="s">
        <v>222</v>
      </c>
      <c r="I29" s="113" t="s">
        <v>222</v>
      </c>
      <c r="J29" s="113" t="s">
        <v>222</v>
      </c>
      <c r="K29" s="113" t="s">
        <v>222</v>
      </c>
      <c r="L29" s="113">
        <f>L19*B9</f>
        <v>0.0009</v>
      </c>
      <c r="M29" s="122">
        <f>M19*$B$9</f>
        <v>21.509999999999998</v>
      </c>
    </row>
    <row r="30" spans="1:13" ht="12.75">
      <c r="A30" s="57" t="s">
        <v>24</v>
      </c>
      <c r="B30" s="535">
        <f>SUM(B24:B29)</f>
        <v>139.12112753643157</v>
      </c>
      <c r="C30" s="535">
        <f aca="true" t="shared" si="3" ref="C30:M30">SUM(C24:C29)</f>
        <v>161.5407865655107</v>
      </c>
      <c r="D30" s="535">
        <f t="shared" si="3"/>
        <v>30.635318842028</v>
      </c>
      <c r="E30" s="535">
        <f t="shared" si="3"/>
        <v>30.027273732189247</v>
      </c>
      <c r="F30" s="535">
        <f t="shared" si="3"/>
        <v>68.29308749595978</v>
      </c>
      <c r="G30" s="535">
        <f t="shared" si="3"/>
        <v>66.44847424434342</v>
      </c>
      <c r="H30" s="535">
        <f t="shared" si="3"/>
        <v>64.44614865884115</v>
      </c>
      <c r="I30" s="108">
        <f t="shared" si="3"/>
        <v>1752414.701066884</v>
      </c>
      <c r="J30" s="108">
        <f t="shared" si="3"/>
        <v>33.042316657612496</v>
      </c>
      <c r="K30" s="108">
        <f t="shared" si="3"/>
        <v>3.3042923848462498</v>
      </c>
      <c r="L30" s="492">
        <f t="shared" si="3"/>
        <v>0.0009</v>
      </c>
      <c r="M30" s="108">
        <f t="shared" si="3"/>
        <v>1754154.4303559961</v>
      </c>
    </row>
    <row r="31" spans="1:8" ht="15.75">
      <c r="A31" s="7"/>
      <c r="B31" s="7"/>
      <c r="C31" s="7"/>
      <c r="D31" s="7"/>
      <c r="E31" s="7"/>
      <c r="F31" s="7"/>
      <c r="G31" s="7"/>
      <c r="H31" s="7"/>
    </row>
    <row r="32" spans="1:8" ht="15.75">
      <c r="A32" s="7"/>
      <c r="B32" s="7"/>
      <c r="C32" s="7"/>
      <c r="D32" s="7"/>
      <c r="E32" s="7"/>
      <c r="F32" s="7"/>
      <c r="G32" s="7"/>
      <c r="H32" s="7"/>
    </row>
    <row r="33" spans="1:8" ht="15.75">
      <c r="A33" s="7"/>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row r="36" spans="1:8" ht="15.75">
      <c r="A36" s="7"/>
      <c r="B36" s="7"/>
      <c r="C36" s="7"/>
      <c r="D36" s="7"/>
      <c r="E36" s="7"/>
      <c r="F36" s="7"/>
      <c r="G36" s="7"/>
      <c r="H36" s="7"/>
    </row>
    <row r="118" ht="12.75" hidden="1"/>
    <row r="119" ht="12.75" hidden="1"/>
    <row r="120" ht="12.75" hidden="1"/>
    <row r="121" ht="12.75" hidden="1"/>
    <row r="122" ht="12.75" hidden="1"/>
    <row r="123" ht="12.75" hidden="1"/>
    <row r="124" ht="12.75" hidden="1"/>
    <row r="125" ht="12.75" hidden="1"/>
    <row r="126" ht="12.75" hidden="1"/>
    <row r="127" ht="12.75" hidden="1"/>
    <row r="128" ht="12.75" hidden="1"/>
  </sheetData>
  <sheetProtection/>
  <mergeCells count="4">
    <mergeCell ref="A20:H20"/>
    <mergeCell ref="B12:M12"/>
    <mergeCell ref="B22:M22"/>
    <mergeCell ref="A1:M1"/>
  </mergeCells>
  <printOptions horizontalCentered="1"/>
  <pageMargins left="0.75" right="0.75" top="1" bottom="1" header="0.5" footer="0.5"/>
  <pageSetup fitToHeight="1" fitToWidth="1" horizontalDpi="300" verticalDpi="300" orientation="landscape" scale="61" r:id="rId2"/>
  <headerFooter alignWithMargins="0">
    <oddFooter>&amp;L&amp;D
&amp;C&amp;P of &amp;N&amp;R&amp;A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12"/>
  <sheetViews>
    <sheetView zoomScale="90" zoomScaleNormal="90" zoomScalePageLayoutView="0" workbookViewId="0" topLeftCell="A1">
      <selection activeCell="B7" sqref="B7"/>
    </sheetView>
  </sheetViews>
  <sheetFormatPr defaultColWidth="8.7109375" defaultRowHeight="12.75"/>
  <cols>
    <col min="1" max="1" width="44.00390625" style="0" customWidth="1"/>
    <col min="2" max="2" width="9.7109375" style="0" bestFit="1" customWidth="1"/>
    <col min="3" max="3" width="11.140625" style="0" bestFit="1" customWidth="1"/>
    <col min="4" max="4" width="11.140625" style="0" customWidth="1"/>
    <col min="5" max="5" width="9.7109375" style="0" bestFit="1" customWidth="1"/>
    <col min="6" max="6" width="9.421875" style="0" bestFit="1" customWidth="1"/>
    <col min="7" max="7" width="13.140625" style="0" customWidth="1"/>
    <col min="8" max="8" width="9.7109375" style="0" bestFit="1" customWidth="1"/>
    <col min="9" max="9" width="15.140625" style="0" customWidth="1"/>
    <col min="10" max="12" width="8.7109375" style="0" customWidth="1"/>
    <col min="13" max="13" width="14.7109375" style="0" customWidth="1"/>
  </cols>
  <sheetData>
    <row r="1" spans="1:13" ht="34.5" customHeight="1">
      <c r="A1" s="664" t="s">
        <v>546</v>
      </c>
      <c r="B1" s="664"/>
      <c r="C1" s="664"/>
      <c r="D1" s="664"/>
      <c r="E1" s="664"/>
      <c r="F1" s="664"/>
      <c r="G1" s="664"/>
      <c r="H1" s="664"/>
      <c r="I1" s="664"/>
      <c r="J1" s="664"/>
      <c r="K1" s="664"/>
      <c r="L1" s="664"/>
      <c r="M1" s="664"/>
    </row>
    <row r="3" spans="1:8" ht="15.75">
      <c r="A3" s="662" t="s">
        <v>236</v>
      </c>
      <c r="B3" s="662"/>
      <c r="C3" s="662"/>
      <c r="D3" s="662"/>
      <c r="E3" s="662"/>
      <c r="F3" s="662"/>
      <c r="G3" s="662"/>
      <c r="H3" s="7"/>
    </row>
    <row r="4" spans="1:8" ht="15.75">
      <c r="A4" s="7"/>
      <c r="B4" s="7"/>
      <c r="C4" s="7"/>
      <c r="D4" s="7"/>
      <c r="E4" s="7"/>
      <c r="F4" s="7"/>
      <c r="G4" s="7"/>
      <c r="H4" s="7"/>
    </row>
    <row r="5" spans="2:13" ht="12.75">
      <c r="B5" s="663" t="s">
        <v>233</v>
      </c>
      <c r="C5" s="663"/>
      <c r="D5" s="663"/>
      <c r="E5" s="663"/>
      <c r="F5" s="663"/>
      <c r="G5" s="663"/>
      <c r="H5" s="663"/>
      <c r="I5" s="663"/>
      <c r="J5" s="663"/>
      <c r="K5" s="663"/>
      <c r="L5" s="663"/>
      <c r="M5" s="663"/>
    </row>
    <row r="6" spans="1:13" ht="14.25">
      <c r="A6" s="2"/>
      <c r="B6" s="370" t="s">
        <v>282</v>
      </c>
      <c r="C6" s="370" t="s">
        <v>191</v>
      </c>
      <c r="D6" s="370" t="s">
        <v>280</v>
      </c>
      <c r="E6" s="370" t="s">
        <v>193</v>
      </c>
      <c r="F6" s="370" t="s">
        <v>277</v>
      </c>
      <c r="G6" s="370" t="s">
        <v>429</v>
      </c>
      <c r="H6" s="33" t="s">
        <v>430</v>
      </c>
      <c r="I6" s="221" t="s">
        <v>325</v>
      </c>
      <c r="J6" s="221" t="s">
        <v>327</v>
      </c>
      <c r="K6" s="221" t="s">
        <v>328</v>
      </c>
      <c r="L6" s="221" t="s">
        <v>507</v>
      </c>
      <c r="M6" s="221" t="s">
        <v>571</v>
      </c>
    </row>
    <row r="7" spans="1:13" ht="12.75">
      <c r="A7" s="71" t="s">
        <v>187</v>
      </c>
      <c r="B7" s="530">
        <f>'Turbine and Duct Burner Annual'!E15</f>
        <v>299.586675</v>
      </c>
      <c r="C7" s="530">
        <f>'Turbine and Duct Burner Annual'!E29</f>
        <v>248.6361</v>
      </c>
      <c r="D7" s="530">
        <f>'Turbine and Duct Burner Annual'!E43</f>
        <v>22.5601375</v>
      </c>
      <c r="E7" s="530">
        <f>'Turbine and Duct Burner Annual'!E57</f>
        <v>15.001324999999998</v>
      </c>
      <c r="F7" s="530">
        <f>'Turbine and Duct Burner Annual'!E64</f>
        <v>31.2705</v>
      </c>
      <c r="G7" s="530">
        <f>'Turbine and Duct Burner Annual'!E64</f>
        <v>31.2705</v>
      </c>
      <c r="H7" s="529">
        <f>'Turbine and Duct Burner Annual'!E64</f>
        <v>31.2705</v>
      </c>
      <c r="I7" s="482">
        <f>'GHG Emissions'!I25</f>
        <v>875542.252206731</v>
      </c>
      <c r="J7" s="482">
        <f>'GHG Emissions'!J25</f>
        <v>16.50845160838125</v>
      </c>
      <c r="K7" s="482">
        <f>'GHG Emissions'!K25</f>
        <v>1.650845160838125</v>
      </c>
      <c r="L7" s="113" t="s">
        <v>222</v>
      </c>
      <c r="M7" s="482">
        <f>'GHG Emissions'!B35</f>
        <v>876400.6916903668</v>
      </c>
    </row>
    <row r="8" spans="1:13" ht="12.75">
      <c r="A8" s="71" t="s">
        <v>238</v>
      </c>
      <c r="B8" s="111">
        <f>'Aux Boiler Emissions'!G27</f>
        <v>0.12374999999999999</v>
      </c>
      <c r="C8" s="111">
        <f>'Aux Boiler Emissions'!G28</f>
        <v>0.41624999999999995</v>
      </c>
      <c r="D8" s="111">
        <f>'Aux Boiler Emissions'!G29</f>
        <v>0.045</v>
      </c>
      <c r="E8" s="111">
        <f>'Aux Boiler Emissions'!G30</f>
        <v>0.02446597718925189</v>
      </c>
      <c r="F8" s="111">
        <f>'Aux Boiler Emissions'!G31</f>
        <v>0.07875000000000001</v>
      </c>
      <c r="G8" s="111">
        <f>'Aux Boiler Emissions'!G32</f>
        <v>0.07875000000000001</v>
      </c>
      <c r="H8" s="111">
        <f>'Aux Boiler Emissions'!G32</f>
        <v>0.07875000000000001</v>
      </c>
      <c r="I8" s="482">
        <f>'GHG Emissions'!I26</f>
        <v>1315.227375</v>
      </c>
      <c r="J8" s="482">
        <f>'GHG Emissions'!J26</f>
        <v>0.024806250000000002</v>
      </c>
      <c r="K8" s="484">
        <f>'GHG Emissions'!K26</f>
        <v>0.0024806249999999998</v>
      </c>
      <c r="L8" s="113" t="s">
        <v>222</v>
      </c>
      <c r="M8" s="482">
        <f>'GHG Emissions'!B36</f>
        <v>1316.5173</v>
      </c>
    </row>
    <row r="9" spans="1:13" ht="12.75">
      <c r="A9" s="71" t="s">
        <v>239</v>
      </c>
      <c r="B9" s="111">
        <f>'Emergency Fire Pump Emissions'!G30</f>
        <v>0.06305253643157918</v>
      </c>
      <c r="C9" s="111">
        <f>'Emergency Fire Pump Emissions'!G31</f>
        <v>0.040611565510703496</v>
      </c>
      <c r="D9" s="112">
        <f>'Emergency Fire Pump Emissions'!G32</f>
        <v>0.0035252099914019268</v>
      </c>
      <c r="E9" s="111">
        <f>'Emergency Fire Pump Emissions'!G33</f>
        <v>0.000157755</v>
      </c>
      <c r="F9" s="112">
        <f>'Emergency Fire Pump Emissions'!G34</f>
        <v>0.003381908772239247</v>
      </c>
      <c r="G9" s="112">
        <f>'Emergency Fire Pump Emissions'!G35</f>
        <v>0.003381908772239247</v>
      </c>
      <c r="H9" s="112">
        <f>'Emergency Fire Pump Emissions'!G35</f>
        <v>0.003381908772239247</v>
      </c>
      <c r="I9" s="482">
        <f>'GHG Emissions'!I27</f>
        <v>14.969278421999999</v>
      </c>
      <c r="J9" s="493">
        <f>'GHG Emissions'!J27</f>
        <v>0.00060719085</v>
      </c>
      <c r="K9" s="493">
        <f>'GHG Emissions'!K27</f>
        <v>0.00012143817</v>
      </c>
      <c r="L9" s="113" t="s">
        <v>222</v>
      </c>
      <c r="M9" s="482">
        <f>'GHG Emissions'!B37</f>
        <v>15.019675262549999</v>
      </c>
    </row>
    <row r="10" spans="1:13" ht="12.75">
      <c r="A10" s="71" t="s">
        <v>196</v>
      </c>
      <c r="B10" s="113" t="s">
        <v>222</v>
      </c>
      <c r="C10" s="113" t="s">
        <v>222</v>
      </c>
      <c r="D10" s="116">
        <f>'Cooling Tower HAPs'!B10</f>
        <v>0.644896929923499</v>
      </c>
      <c r="E10" s="113" t="s">
        <v>222</v>
      </c>
      <c r="F10" s="111">
        <f>'Cooling Tower'!D34</f>
        <v>5.669955587187549</v>
      </c>
      <c r="G10" s="111">
        <f>'Cooling Tower'!D35</f>
        <v>3.825342335571176</v>
      </c>
      <c r="H10" s="111">
        <f>'Cooling Tower'!D36</f>
        <v>1.823016750068919</v>
      </c>
      <c r="I10" s="113" t="s">
        <v>222</v>
      </c>
      <c r="J10" s="113" t="s">
        <v>222</v>
      </c>
      <c r="K10" s="113" t="s">
        <v>222</v>
      </c>
      <c r="L10" s="113" t="s">
        <v>222</v>
      </c>
      <c r="M10" s="113" t="s">
        <v>222</v>
      </c>
    </row>
    <row r="11" spans="1:13" ht="12.75">
      <c r="A11" s="71" t="s">
        <v>146</v>
      </c>
      <c r="B11" s="113" t="s">
        <v>222</v>
      </c>
      <c r="C11" s="113" t="s">
        <v>222</v>
      </c>
      <c r="D11" s="100">
        <f>'Evaporation Pond Emissions'!B8</f>
        <v>0.0002154521130952381</v>
      </c>
      <c r="E11" s="113" t="s">
        <v>222</v>
      </c>
      <c r="F11" s="113" t="s">
        <v>222</v>
      </c>
      <c r="G11" s="113" t="s">
        <v>222</v>
      </c>
      <c r="H11" s="113" t="s">
        <v>222</v>
      </c>
      <c r="I11" s="113" t="s">
        <v>222</v>
      </c>
      <c r="J11" s="113" t="s">
        <v>222</v>
      </c>
      <c r="K11" s="113" t="s">
        <v>222</v>
      </c>
      <c r="L11" s="113" t="s">
        <v>222</v>
      </c>
      <c r="M11" s="113" t="s">
        <v>222</v>
      </c>
    </row>
    <row r="12" spans="1:13" ht="12.75">
      <c r="A12" s="103" t="s">
        <v>575</v>
      </c>
      <c r="B12" s="113" t="s">
        <v>222</v>
      </c>
      <c r="C12" s="113" t="s">
        <v>222</v>
      </c>
      <c r="D12" s="113" t="s">
        <v>222</v>
      </c>
      <c r="E12" s="113" t="s">
        <v>222</v>
      </c>
      <c r="F12" s="113" t="s">
        <v>222</v>
      </c>
      <c r="G12" s="113" t="s">
        <v>222</v>
      </c>
      <c r="H12" s="113" t="s">
        <v>222</v>
      </c>
      <c r="I12" s="113" t="s">
        <v>222</v>
      </c>
      <c r="J12" s="113" t="s">
        <v>222</v>
      </c>
      <c r="K12" s="113" t="s">
        <v>222</v>
      </c>
      <c r="L12" s="486">
        <f>'GHG Emissions'!L28</f>
        <v>0.00017999999999999998</v>
      </c>
      <c r="M12" s="490">
        <f>'GHG Emissions'!B38</f>
        <v>4.302</v>
      </c>
    </row>
    <row r="94" ht="12.75" hidden="1"/>
    <row r="95" ht="12.75" hidden="1"/>
    <row r="96" ht="12.75" hidden="1"/>
    <row r="97" ht="12.75" hidden="1"/>
    <row r="98" ht="12.75" hidden="1"/>
    <row r="99" ht="12.75" hidden="1"/>
    <row r="100" ht="12.75" hidden="1"/>
    <row r="101" ht="12.75" hidden="1"/>
    <row r="102" ht="12.75" hidden="1"/>
    <row r="103" ht="12.75" hidden="1"/>
    <row r="104" ht="12.75" hidden="1"/>
  </sheetData>
  <sheetProtection/>
  <mergeCells count="3">
    <mergeCell ref="A3:G3"/>
    <mergeCell ref="B5:M5"/>
    <mergeCell ref="A1:M1"/>
  </mergeCells>
  <printOptions horizontalCentered="1"/>
  <pageMargins left="0.75" right="0.75" top="1" bottom="1" header="0.5" footer="0.5"/>
  <pageSetup fitToHeight="1" fitToWidth="1" horizontalDpi="300" verticalDpi="300" orientation="landscape" scale="68" r:id="rId2"/>
  <headerFooter alignWithMargins="0">
    <oddFooter>&amp;L&amp;D
&amp;C&amp;P of &amp;N&amp;R&amp;A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13"/>
  <sheetViews>
    <sheetView zoomScale="90" zoomScaleNormal="90" zoomScalePageLayoutView="0" workbookViewId="0" topLeftCell="A1">
      <selection activeCell="B9" sqref="B9"/>
    </sheetView>
  </sheetViews>
  <sheetFormatPr defaultColWidth="11.421875" defaultRowHeight="12.75"/>
  <cols>
    <col min="1" max="1" width="29.421875" style="4" customWidth="1"/>
    <col min="2" max="2" width="12.7109375" style="4" customWidth="1"/>
    <col min="3" max="6" width="9.7109375" style="4" customWidth="1"/>
    <col min="7" max="8" width="11.421875" style="4" customWidth="1"/>
    <col min="9" max="9" width="9.421875" style="4" customWidth="1"/>
    <col min="10" max="11" width="9.7109375" style="4" customWidth="1"/>
    <col min="12" max="12" width="11.421875" style="4" customWidth="1"/>
    <col min="13" max="13" width="12.421875" style="4" customWidth="1"/>
    <col min="14" max="16384" width="11.421875" style="4" customWidth="1"/>
  </cols>
  <sheetData>
    <row r="1" spans="1:13" ht="36" customHeight="1">
      <c r="A1" s="660" t="s">
        <v>547</v>
      </c>
      <c r="B1" s="665"/>
      <c r="C1" s="665"/>
      <c r="D1" s="665"/>
      <c r="E1" s="665"/>
      <c r="F1" s="665"/>
      <c r="G1" s="665"/>
      <c r="H1" s="665"/>
      <c r="I1" s="665"/>
      <c r="J1" s="665"/>
      <c r="K1" s="665"/>
      <c r="L1" s="665"/>
      <c r="M1" s="665"/>
    </row>
    <row r="2" ht="12.75">
      <c r="A2" s="30"/>
    </row>
    <row r="3" spans="1:2" ht="12.75">
      <c r="A3" s="670" t="s">
        <v>35</v>
      </c>
      <c r="B3" s="670"/>
    </row>
    <row r="4" s="275" customFormat="1" ht="12.75"/>
    <row r="5" spans="1:16" s="275" customFormat="1" ht="12.75">
      <c r="A5" s="15"/>
      <c r="B5" s="661" t="s">
        <v>31</v>
      </c>
      <c r="C5" s="661"/>
      <c r="D5" s="661"/>
      <c r="E5" s="661"/>
      <c r="F5" s="661"/>
      <c r="G5" s="661"/>
      <c r="H5" s="661"/>
      <c r="I5" s="661"/>
      <c r="J5" s="661"/>
      <c r="K5" s="661"/>
      <c r="L5" s="661"/>
      <c r="M5" s="661"/>
      <c r="N5" s="276"/>
      <c r="O5" s="276"/>
      <c r="P5" s="276"/>
    </row>
    <row r="6" spans="1:16" s="278" customFormat="1" ht="12.75">
      <c r="A6" s="666" t="s">
        <v>192</v>
      </c>
      <c r="B6" s="667" t="s">
        <v>29</v>
      </c>
      <c r="C6" s="667"/>
      <c r="D6" s="667"/>
      <c r="E6" s="667"/>
      <c r="F6" s="668"/>
      <c r="G6" s="668"/>
      <c r="H6" s="372"/>
      <c r="I6" s="669" t="s">
        <v>30</v>
      </c>
      <c r="J6" s="661"/>
      <c r="K6" s="661"/>
      <c r="L6" s="661"/>
      <c r="M6" s="661"/>
      <c r="N6" s="277"/>
      <c r="O6" s="277"/>
      <c r="P6" s="277"/>
    </row>
    <row r="7" spans="1:14" s="278" customFormat="1" ht="14.25">
      <c r="A7" s="666"/>
      <c r="B7" s="221" t="s">
        <v>190</v>
      </c>
      <c r="C7" s="221" t="s">
        <v>191</v>
      </c>
      <c r="D7" s="221" t="s">
        <v>280</v>
      </c>
      <c r="E7" s="221" t="s">
        <v>193</v>
      </c>
      <c r="F7" s="366" t="s">
        <v>277</v>
      </c>
      <c r="G7" s="244" t="s">
        <v>429</v>
      </c>
      <c r="H7" s="374" t="s">
        <v>430</v>
      </c>
      <c r="I7" s="373" t="s">
        <v>190</v>
      </c>
      <c r="J7" s="221" t="s">
        <v>191</v>
      </c>
      <c r="K7" s="39" t="s">
        <v>280</v>
      </c>
      <c r="L7" s="221" t="s">
        <v>193</v>
      </c>
      <c r="M7" s="39" t="s">
        <v>294</v>
      </c>
      <c r="N7" s="276"/>
    </row>
    <row r="8" spans="1:13" s="275" customFormat="1" ht="12.75">
      <c r="A8" s="47" t="s">
        <v>187</v>
      </c>
      <c r="B8" s="536">
        <f>'Turbine and Duct Burner Hourly'!I21</f>
        <v>15.6</v>
      </c>
      <c r="C8" s="536">
        <f>'Turbine and Duct Burner Hourly'!I39</f>
        <v>9.5</v>
      </c>
      <c r="D8" s="536">
        <f>'Turbine and Duct Burner Hourly'!I57</f>
        <v>4.1</v>
      </c>
      <c r="E8" s="536">
        <f>'Turbine and Duct Burner Hourly'!I65</f>
        <v>4.1</v>
      </c>
      <c r="F8" s="537">
        <f>'Turbine and Duct Burner Hourly'!I75</f>
        <v>8.5</v>
      </c>
      <c r="G8" s="537">
        <f>'Turbine and Duct Burner Hourly'!I75</f>
        <v>8.5</v>
      </c>
      <c r="H8" s="538">
        <f>'Turbine and Duct Burner Hourly'!I75</f>
        <v>8.5</v>
      </c>
      <c r="I8" s="539">
        <f>MAX('Turbine Startup Emissions'!G16:I16,'Turbine Startup Emissions'!B23:D23,'Turbine Startup Emissions'!B30:D30)</f>
        <v>101.32</v>
      </c>
      <c r="J8" s="536">
        <f>MAX('Turbine Startup Emissions'!G17:I17,'Turbine Startup Emissions'!B24:D24,'Turbine Startup Emissions'!B31:D31)</f>
        <v>262.28</v>
      </c>
      <c r="K8" s="536">
        <f>MAX('Turbine Startup Emissions'!G18:I18,'Turbine Startup Emissions'!B25:D25,'Turbine Startup Emissions'!B32:D32)</f>
        <v>17.56</v>
      </c>
      <c r="L8" s="536">
        <f>MAX('Turbine and Duct Burner Hourly'!C67:E69)</f>
        <v>3.6</v>
      </c>
      <c r="M8" s="536">
        <f>MAX('Turbine and Duct Burner Hourly'!C76:E78)</f>
        <v>6.5</v>
      </c>
    </row>
    <row r="9" spans="1:13" s="275" customFormat="1" ht="12.75">
      <c r="A9" s="47" t="s">
        <v>195</v>
      </c>
      <c r="B9" s="279">
        <f>'Aux Boiler Emissions'!F27</f>
        <v>0.5499999999999999</v>
      </c>
      <c r="C9" s="279">
        <f>'Aux Boiler Emissions'!F28</f>
        <v>1.8499999999999999</v>
      </c>
      <c r="D9" s="279">
        <f>'Aux Boiler Emissions'!F29</f>
        <v>0.2</v>
      </c>
      <c r="E9" s="279">
        <f>'Aux Boiler Emissions'!F30</f>
        <v>0.10873767639667506</v>
      </c>
      <c r="F9" s="280">
        <f>'Aux Boiler Emissions'!F31</f>
        <v>0.35000000000000003</v>
      </c>
      <c r="G9" s="280">
        <f>'Aux Boiler Emissions'!F32</f>
        <v>0.35000000000000003</v>
      </c>
      <c r="H9" s="281">
        <f>'Aux Boiler Emissions'!F32</f>
        <v>0.35000000000000003</v>
      </c>
      <c r="I9" s="4"/>
      <c r="J9" s="4"/>
      <c r="K9" s="4"/>
      <c r="L9" s="4"/>
      <c r="M9" s="4"/>
    </row>
    <row r="10" spans="1:13" s="275" customFormat="1" ht="12.75">
      <c r="A10" s="47" t="s">
        <v>194</v>
      </c>
      <c r="B10" s="279">
        <f>'Emergency Fire Pump Emissions'!F30</f>
        <v>1.2610507286315837</v>
      </c>
      <c r="C10" s="279">
        <f>'Emergency Fire Pump Emissions'!F31</f>
        <v>0.81223131021407</v>
      </c>
      <c r="D10" s="279">
        <f>'Emergency Fire Pump Emissions'!F32</f>
        <v>0.07050419982803854</v>
      </c>
      <c r="E10" s="423">
        <f>'Emergency Fire Pump Emissions'!F33</f>
        <v>0.0031551</v>
      </c>
      <c r="F10" s="280">
        <f>'Emergency Fire Pump Emissions'!F34</f>
        <v>0.06763817544478494</v>
      </c>
      <c r="G10" s="280">
        <f>'Emergency Fire Pump Emissions'!F35</f>
        <v>0.06763817544478494</v>
      </c>
      <c r="H10" s="281">
        <f>'Emergency Fire Pump Emissions'!F35</f>
        <v>0.06763817544478494</v>
      </c>
      <c r="I10" s="4"/>
      <c r="J10" s="4"/>
      <c r="K10" s="4"/>
      <c r="L10" s="4"/>
      <c r="M10" s="4"/>
    </row>
    <row r="11" spans="1:13" s="275" customFormat="1" ht="12.75">
      <c r="A11" s="47" t="s">
        <v>196</v>
      </c>
      <c r="B11" s="113" t="s">
        <v>222</v>
      </c>
      <c r="C11" s="113" t="s">
        <v>222</v>
      </c>
      <c r="D11" s="282">
        <f>'Cooling Tower HAPs'!B9</f>
        <v>0.14723674199166645</v>
      </c>
      <c r="E11" s="113" t="s">
        <v>222</v>
      </c>
      <c r="F11" s="375">
        <f>'Cooling Tower'!C34</f>
        <v>1.294510408033687</v>
      </c>
      <c r="G11" s="280">
        <f>'Cooling Tower'!C35</f>
        <v>0.8733658300390813</v>
      </c>
      <c r="H11" s="281">
        <f>'Cooling Tower'!C36</f>
        <v>0.41621386987874864</v>
      </c>
      <c r="I11" s="4"/>
      <c r="J11" s="4"/>
      <c r="K11" s="4"/>
      <c r="L11" s="4"/>
      <c r="M11" s="4"/>
    </row>
    <row r="12" spans="1:13" s="275" customFormat="1" ht="12.75">
      <c r="A12" s="47" t="s">
        <v>146</v>
      </c>
      <c r="B12" s="113" t="s">
        <v>222</v>
      </c>
      <c r="C12" s="113" t="s">
        <v>222</v>
      </c>
      <c r="D12" s="283">
        <f>'Evaporation Pond Emissions'!B7</f>
        <v>4.918998015873016E-05</v>
      </c>
      <c r="E12" s="113" t="s">
        <v>222</v>
      </c>
      <c r="F12" s="113" t="s">
        <v>222</v>
      </c>
      <c r="G12" s="113" t="s">
        <v>222</v>
      </c>
      <c r="H12" s="281" t="s">
        <v>222</v>
      </c>
      <c r="I12" s="4"/>
      <c r="J12" s="4"/>
      <c r="K12" s="4"/>
      <c r="L12" s="4"/>
      <c r="M12" s="4"/>
    </row>
    <row r="13" spans="1:12" s="275" customFormat="1" ht="12.75">
      <c r="A13" s="284"/>
      <c r="B13" s="285"/>
      <c r="C13" s="285"/>
      <c r="D13" s="285"/>
      <c r="E13" s="285"/>
      <c r="F13" s="285"/>
      <c r="G13" s="285"/>
      <c r="H13" s="285"/>
      <c r="I13" s="285"/>
      <c r="J13" s="285"/>
      <c r="K13" s="285"/>
      <c r="L13" s="285"/>
    </row>
  </sheetData>
  <sheetProtection/>
  <mergeCells count="6">
    <mergeCell ref="A1:M1"/>
    <mergeCell ref="B5:M5"/>
    <mergeCell ref="A6:A7"/>
    <mergeCell ref="B6:G6"/>
    <mergeCell ref="I6:M6"/>
    <mergeCell ref="A3:B3"/>
  </mergeCells>
  <printOptions horizontalCentered="1"/>
  <pageMargins left="0.75" right="0.75" top="1" bottom="1" header="0.5" footer="0.5"/>
  <pageSetup fitToHeight="0" fitToWidth="1" horizontalDpi="300" verticalDpi="300" orientation="landscape" scale="79" r:id="rId2"/>
  <headerFooter alignWithMargins="0">
    <oddFooter>&amp;L&amp;D
&amp;C&amp;P of &amp;N&amp;R&amp;A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I7" sqref="I7"/>
    </sheetView>
  </sheetViews>
  <sheetFormatPr defaultColWidth="11.421875" defaultRowHeight="12.75"/>
  <cols>
    <col min="1" max="1" width="24.140625" style="12" customWidth="1"/>
    <col min="2" max="2" width="13.421875" style="12" bestFit="1" customWidth="1"/>
    <col min="3" max="3" width="13.421875" style="12" customWidth="1"/>
    <col min="4" max="5" width="18.28125" style="12" customWidth="1"/>
    <col min="6" max="9" width="11.421875" style="12" customWidth="1"/>
    <col min="10" max="10" width="10.7109375" style="38" customWidth="1"/>
    <col min="11" max="16384" width="11.421875" style="12" customWidth="1"/>
  </cols>
  <sheetData>
    <row r="1" spans="1:10" ht="39" customHeight="1">
      <c r="A1" s="672" t="s">
        <v>548</v>
      </c>
      <c r="B1" s="673"/>
      <c r="C1" s="673"/>
      <c r="D1" s="673"/>
      <c r="E1" s="673"/>
      <c r="F1" s="673"/>
      <c r="G1" s="673"/>
      <c r="H1" s="673"/>
      <c r="I1" s="673"/>
      <c r="J1" s="673"/>
    </row>
    <row r="2" ht="15.75">
      <c r="A2" s="128"/>
    </row>
    <row r="3" ht="15.75">
      <c r="A3" s="128" t="s">
        <v>15</v>
      </c>
    </row>
    <row r="4" spans="1:7" ht="12.75">
      <c r="A4" s="55" t="s">
        <v>189</v>
      </c>
      <c r="B4" s="55">
        <f>'Bowie Sources'!B4</f>
        <v>2</v>
      </c>
      <c r="G4" s="38"/>
    </row>
    <row r="5" spans="1:2" ht="12.75">
      <c r="A5" s="55" t="s">
        <v>18</v>
      </c>
      <c r="B5" s="55">
        <f>'Bowie Sources'!B7</f>
        <v>1</v>
      </c>
    </row>
    <row r="6" spans="1:2" ht="12.75">
      <c r="A6" s="125" t="s">
        <v>16</v>
      </c>
      <c r="B6" s="55">
        <f>'Bowie Sources'!B8</f>
        <v>1</v>
      </c>
    </row>
    <row r="7" spans="1:2" ht="12.75">
      <c r="A7" s="125" t="s">
        <v>232</v>
      </c>
      <c r="B7" s="55">
        <f>'Bowie Sources'!B9</f>
        <v>1</v>
      </c>
    </row>
    <row r="8" spans="1:2" ht="12.75">
      <c r="A8" s="125" t="s">
        <v>146</v>
      </c>
      <c r="B8" s="55">
        <f>'Bowie Sources'!B11</f>
        <v>1</v>
      </c>
    </row>
    <row r="9" spans="1:10" ht="12.75">
      <c r="A9" s="66"/>
      <c r="B9" s="671" t="s">
        <v>233</v>
      </c>
      <c r="C9" s="671"/>
      <c r="D9" s="671"/>
      <c r="E9" s="671"/>
      <c r="F9" s="671"/>
      <c r="G9" s="671"/>
      <c r="H9" s="671"/>
      <c r="I9" s="671"/>
      <c r="J9" s="671"/>
    </row>
    <row r="10" spans="1:9" s="36" customFormat="1" ht="38.25">
      <c r="A10" s="70" t="s">
        <v>204</v>
      </c>
      <c r="B10" s="70" t="s">
        <v>360</v>
      </c>
      <c r="C10" s="70" t="s">
        <v>14</v>
      </c>
      <c r="D10" s="70" t="s">
        <v>36</v>
      </c>
      <c r="E10" s="70" t="s">
        <v>11</v>
      </c>
      <c r="F10" s="70" t="s">
        <v>146</v>
      </c>
      <c r="G10" s="70" t="s">
        <v>24</v>
      </c>
      <c r="H10" s="11"/>
      <c r="I10" s="11"/>
    </row>
    <row r="11" spans="1:9" s="36" customFormat="1" ht="12.75">
      <c r="A11" s="55" t="s">
        <v>208</v>
      </c>
      <c r="B11" s="248">
        <f>'Turbine+Duct Burner HAPs'!E28</f>
        <v>0.09906586099924707</v>
      </c>
      <c r="C11" s="588"/>
      <c r="D11" s="129">
        <f>'Emergency Fire Pump Emissions'!F40</f>
        <v>7.040292999999999E-05</v>
      </c>
      <c r="E11" s="588"/>
      <c r="F11" s="439"/>
      <c r="G11" s="286">
        <f>(B11*$B$4)+(C11*$B$5)+(D11*$B$6)+(E11*$B$7)+(F11*$B$8)</f>
        <v>0.19820212492849412</v>
      </c>
      <c r="H11" s="11"/>
      <c r="I11" s="11"/>
    </row>
    <row r="12" spans="1:10" ht="12.75">
      <c r="A12" s="55" t="s">
        <v>104</v>
      </c>
      <c r="B12" s="248">
        <f>'Turbine+Duct Burner HAPs'!E29</f>
        <v>0.015850537759879532</v>
      </c>
      <c r="C12" s="588"/>
      <c r="D12" s="589"/>
      <c r="E12" s="590"/>
      <c r="F12" s="592"/>
      <c r="G12" s="286">
        <f aca="true" t="shared" si="0" ref="G12:G33">(B12*$B$4)+(C12*$B$5)+(D12*$B$6)+(E12*$B$7)+(F12*$B$8)</f>
        <v>0.031701075519759064</v>
      </c>
      <c r="H12" s="11"/>
      <c r="I12" s="11"/>
      <c r="J12" s="12"/>
    </row>
    <row r="13" spans="1:10" ht="12.75">
      <c r="A13" s="55" t="s">
        <v>175</v>
      </c>
      <c r="B13" s="588"/>
      <c r="C13" s="588"/>
      <c r="D13" s="589"/>
      <c r="E13" s="256">
        <f>'Cooling Tower HAPs'!E19</f>
        <v>5.047019451575212E-05</v>
      </c>
      <c r="F13" s="592"/>
      <c r="G13" s="293">
        <f t="shared" si="0"/>
        <v>5.047019451575212E-05</v>
      </c>
      <c r="H13" s="11"/>
      <c r="I13" s="11"/>
      <c r="J13" s="12"/>
    </row>
    <row r="14" spans="1:10" ht="12.75">
      <c r="A14" s="55" t="s">
        <v>117</v>
      </c>
      <c r="B14" s="248">
        <f>'Turbine+Duct Burner HAPs'!E30</f>
        <v>0.00017147496617050067</v>
      </c>
      <c r="C14" s="248">
        <f>'Aux Boiler Emissions'!E36</f>
        <v>2.1747535279335015E-06</v>
      </c>
      <c r="D14" s="589"/>
      <c r="E14" s="256">
        <f>'Cooling Tower HAPs'!E20</f>
        <v>7.570529177362819E-05</v>
      </c>
      <c r="F14" s="592"/>
      <c r="G14" s="292">
        <f t="shared" si="0"/>
        <v>0.000420829977642563</v>
      </c>
      <c r="H14" s="11"/>
      <c r="I14" s="11"/>
      <c r="J14" s="12"/>
    </row>
    <row r="15" spans="1:10" ht="12.75">
      <c r="A15" s="55" t="s">
        <v>209</v>
      </c>
      <c r="B15" s="248">
        <f>'Turbine+Duct Burner HAPs'!E31</f>
        <v>0.030259904443211198</v>
      </c>
      <c r="C15" s="248">
        <f>'Aux Boiler Emissions'!E37</f>
        <v>2.283491204330176E-05</v>
      </c>
      <c r="D15" s="129">
        <f>'Emergency Fire Pump Emissions'!F41</f>
        <v>8.564007E-05</v>
      </c>
      <c r="E15" s="590"/>
      <c r="F15" s="592"/>
      <c r="G15" s="286">
        <f t="shared" si="0"/>
        <v>0.06062828386846569</v>
      </c>
      <c r="H15" s="11"/>
      <c r="I15" s="11"/>
      <c r="J15" s="12"/>
    </row>
    <row r="16" spans="1:10" ht="12.75">
      <c r="A16" s="55" t="s">
        <v>176</v>
      </c>
      <c r="B16" s="588"/>
      <c r="C16" s="588"/>
      <c r="D16" s="589"/>
      <c r="E16" s="288">
        <f>'Cooling Tower HAPs'!E21</f>
        <v>1.261754862893803E-05</v>
      </c>
      <c r="F16" s="592"/>
      <c r="G16" s="293">
        <f t="shared" si="0"/>
        <v>1.261754862893803E-05</v>
      </c>
      <c r="H16" s="11"/>
      <c r="I16" s="11"/>
      <c r="J16" s="12"/>
    </row>
    <row r="17" spans="1:10" ht="12.75">
      <c r="A17" s="55" t="s">
        <v>4</v>
      </c>
      <c r="B17" s="248">
        <f>'Turbine+Duct Burner HAPs'!E32</f>
        <v>0.0009431123139377538</v>
      </c>
      <c r="C17" s="256">
        <f>'Aux Boiler Emissions'!E38</f>
        <v>1.1961144403634256E-05</v>
      </c>
      <c r="D17" s="589"/>
      <c r="E17" s="288">
        <f>'Cooling Tower HAPs'!E22</f>
        <v>5.047019451575212E-05</v>
      </c>
      <c r="F17" s="592"/>
      <c r="G17" s="291">
        <f t="shared" si="0"/>
        <v>0.001948655966794894</v>
      </c>
      <c r="H17" s="11"/>
      <c r="I17" s="11"/>
      <c r="J17" s="12"/>
    </row>
    <row r="18" spans="1:10" ht="12.75">
      <c r="A18" s="55" t="s">
        <v>12</v>
      </c>
      <c r="B18" s="588"/>
      <c r="C18" s="590"/>
      <c r="D18" s="589"/>
      <c r="E18" s="288">
        <f>'Cooling Tower HAPs'!B10</f>
        <v>0.644896929923499</v>
      </c>
      <c r="F18" s="288">
        <f>'Evaporation Pond Emissions'!B8</f>
        <v>0.0002154521130952381</v>
      </c>
      <c r="G18" s="286">
        <f t="shared" si="0"/>
        <v>0.6451123820365943</v>
      </c>
      <c r="H18" s="11"/>
      <c r="I18" s="11"/>
      <c r="J18" s="12"/>
    </row>
    <row r="19" spans="1:10" ht="12.75">
      <c r="A19" s="55" t="s">
        <v>5</v>
      </c>
      <c r="B19" s="248">
        <f>'Turbine+Duct Burner HAPs'!E33</f>
        <v>0.0012003247631935047</v>
      </c>
      <c r="C19" s="248">
        <f>'Aux Boiler Emissions'!E39</f>
        <v>1.5223274695534507E-05</v>
      </c>
      <c r="D19" s="589"/>
      <c r="E19" s="288">
        <f>'Cooling Tower HAPs'!E23</f>
        <v>0.0001261754862893803</v>
      </c>
      <c r="F19" s="592"/>
      <c r="G19" s="291">
        <f t="shared" si="0"/>
        <v>0.0025420482873719243</v>
      </c>
      <c r="H19" s="11"/>
      <c r="I19" s="11"/>
      <c r="J19" s="12"/>
    </row>
    <row r="20" spans="1:10" ht="12.75">
      <c r="A20" s="55" t="s">
        <v>6</v>
      </c>
      <c r="B20" s="248">
        <f>'Turbine+Duct Burner HAPs'!E34</f>
        <v>7.201948579161028E-05</v>
      </c>
      <c r="C20" s="248">
        <f>'Aux Boiler Emissions'!E40</f>
        <v>9.133964817320704E-07</v>
      </c>
      <c r="D20" s="589"/>
      <c r="E20" s="590"/>
      <c r="F20" s="592"/>
      <c r="G20" s="292">
        <f t="shared" si="0"/>
        <v>0.00014495236806495262</v>
      </c>
      <c r="H20" s="11"/>
      <c r="I20" s="11"/>
      <c r="J20" s="12"/>
    </row>
    <row r="21" spans="1:10" ht="12.75">
      <c r="A21" s="55" t="s">
        <v>139</v>
      </c>
      <c r="B21" s="248">
        <f>'Turbine+Duct Burner HAPs'!E35</f>
        <v>0.0003086549391069013</v>
      </c>
      <c r="C21" s="256">
        <f>'Aux Boiler Emissions'!E41</f>
        <v>1.3048521167601006E-05</v>
      </c>
      <c r="D21" s="589"/>
      <c r="E21" s="590"/>
      <c r="F21" s="592"/>
      <c r="G21" s="292">
        <f t="shared" si="0"/>
        <v>0.0006303583993814036</v>
      </c>
      <c r="H21" s="11"/>
      <c r="I21" s="11"/>
      <c r="J21" s="12"/>
    </row>
    <row r="22" spans="1:10" ht="12.75">
      <c r="A22" s="55" t="s">
        <v>93</v>
      </c>
      <c r="B22" s="248">
        <f>'Turbine+Duct Burner HAPs'!E36</f>
        <v>0.07925268879939766</v>
      </c>
      <c r="C22" s="588"/>
      <c r="D22" s="287">
        <f>'Emergency Fire Pump Emissions'!F42</f>
        <v>2.0569E-06</v>
      </c>
      <c r="E22" s="590"/>
      <c r="F22" s="593"/>
      <c r="G22" s="286">
        <f t="shared" si="0"/>
        <v>0.1585074344987953</v>
      </c>
      <c r="H22" s="11"/>
      <c r="I22" s="11"/>
      <c r="J22" s="12"/>
    </row>
    <row r="23" spans="1:10" ht="12.75">
      <c r="A23" s="55" t="s">
        <v>94</v>
      </c>
      <c r="B23" s="248">
        <f>'Turbine+Duct Burner HAPs'!E37</f>
        <v>1.7777099664308165</v>
      </c>
      <c r="C23" s="256">
        <f>'Aux Boiler Emissions'!E42</f>
        <v>0.0008155325729750629</v>
      </c>
      <c r="D23" s="287">
        <f>'Emergency Fire Pump Emissions'!F43</f>
        <v>0.00010831220000000002</v>
      </c>
      <c r="E23" s="590"/>
      <c r="F23" s="594"/>
      <c r="G23" s="286">
        <f t="shared" si="0"/>
        <v>3.556343777634608</v>
      </c>
      <c r="H23" s="11"/>
      <c r="I23" s="11"/>
      <c r="J23" s="12"/>
    </row>
    <row r="24" spans="1:10" ht="12.75">
      <c r="A24" s="55" t="s">
        <v>110</v>
      </c>
      <c r="B24" s="248">
        <f>'Turbine+Duct Burner HAPs'!E38</f>
        <v>0.46298240866035195</v>
      </c>
      <c r="C24" s="248">
        <f>'Aux Boiler Emissions'!E43</f>
        <v>0.01957278175140151</v>
      </c>
      <c r="D24" s="589"/>
      <c r="E24" s="590"/>
      <c r="F24" s="594"/>
      <c r="G24" s="286">
        <f t="shared" si="0"/>
        <v>0.9455375990721054</v>
      </c>
      <c r="H24" s="11"/>
      <c r="I24" s="11"/>
      <c r="J24" s="12"/>
    </row>
    <row r="25" spans="1:10" ht="12.75">
      <c r="A25" s="55" t="s">
        <v>28</v>
      </c>
      <c r="B25" s="248">
        <f>'Turbine+Duct Burner HAPs'!E39</f>
        <v>0.0004286874154262517</v>
      </c>
      <c r="C25" s="248">
        <f>'Aux Boiler Emissions'!E44</f>
        <v>5.436883819833753E-06</v>
      </c>
      <c r="D25" s="589"/>
      <c r="E25" s="288">
        <f>'Cooling Tower HAPs'!E24</f>
        <v>5.047019451575212E-05</v>
      </c>
      <c r="F25" s="594"/>
      <c r="G25" s="292">
        <f t="shared" si="0"/>
        <v>0.0009132819091880892</v>
      </c>
      <c r="H25" s="11"/>
      <c r="I25" s="11"/>
      <c r="J25" s="12"/>
    </row>
    <row r="26" spans="1:10" ht="12.75">
      <c r="A26" s="55" t="s">
        <v>7</v>
      </c>
      <c r="B26" s="248">
        <f>'Turbine+Duct Burner HAPs'!E40</f>
        <v>0.00032580243572395137</v>
      </c>
      <c r="C26" s="248">
        <f>'Aux Boiler Emissions'!E45</f>
        <v>4.132031703073653E-06</v>
      </c>
      <c r="D26" s="589"/>
      <c r="E26" s="590"/>
      <c r="F26" s="594"/>
      <c r="G26" s="292">
        <f t="shared" si="0"/>
        <v>0.0006557369031509764</v>
      </c>
      <c r="H26" s="11"/>
      <c r="I26" s="11"/>
      <c r="J26" s="12"/>
    </row>
    <row r="27" spans="1:10" ht="12.75">
      <c r="A27" s="55" t="s">
        <v>95</v>
      </c>
      <c r="B27" s="248">
        <f>'Turbine+Duct Burner HAPs'!E41</f>
        <v>0.00022291745602165088</v>
      </c>
      <c r="C27" s="129">
        <f>'Aux Boiler Emissions'!E46</f>
        <v>2.827179586313551E-06</v>
      </c>
      <c r="D27" s="589"/>
      <c r="E27" s="288">
        <f>'Cooling Tower HAPs'!E25</f>
        <v>5.607799390639123E-06</v>
      </c>
      <c r="F27" s="595"/>
      <c r="G27" s="292">
        <f t="shared" si="0"/>
        <v>0.0004542698910202544</v>
      </c>
      <c r="H27" s="11"/>
      <c r="I27" s="11"/>
      <c r="J27" s="12"/>
    </row>
    <row r="28" spans="1:10" ht="12.75">
      <c r="A28" s="55" t="s">
        <v>96</v>
      </c>
      <c r="B28" s="248">
        <f>'Turbine+Duct Burner HAPs'!E42</f>
        <v>0.0033765400765215373</v>
      </c>
      <c r="C28" s="129">
        <f>'Aux Boiler Emissions'!E47</f>
        <v>6.632998260197178E-06</v>
      </c>
      <c r="D28" s="129">
        <f>'Emergency Fire Pump Emissions'!F44</f>
        <v>7.783792E-06</v>
      </c>
      <c r="E28" s="591"/>
      <c r="F28" s="595"/>
      <c r="G28" s="291">
        <f t="shared" si="0"/>
        <v>0.006767496943303272</v>
      </c>
      <c r="H28" s="11"/>
      <c r="I28" s="11"/>
      <c r="J28" s="12"/>
    </row>
    <row r="29" spans="1:10" ht="12.75">
      <c r="A29" s="55" t="s">
        <v>8</v>
      </c>
      <c r="B29" s="248">
        <f>'Turbine+Duct Burner HAPs'!E43</f>
        <v>0.0018004871447902574</v>
      </c>
      <c r="C29" s="129">
        <f>'Aux Boiler Emissions'!E48</f>
        <v>2.283491204330176E-05</v>
      </c>
      <c r="D29" s="549"/>
      <c r="E29" s="129">
        <f>'Cooling Tower HAPs'!E26</f>
        <v>0.0001261754862893803</v>
      </c>
      <c r="F29" s="595"/>
      <c r="G29" s="291">
        <f t="shared" si="0"/>
        <v>0.003749984687913197</v>
      </c>
      <c r="H29" s="11"/>
      <c r="I29" s="11"/>
      <c r="J29" s="12"/>
    </row>
    <row r="30" spans="1:10" ht="14.25">
      <c r="A30" s="55" t="s">
        <v>357</v>
      </c>
      <c r="B30" s="248">
        <f>'Turbine+Duct Burner HAPs'!E44</f>
        <v>0.005461945959830037</v>
      </c>
      <c r="C30" s="129">
        <f>'Aux Boiler Emissions'!E49</f>
        <v>5.632611637347767E-07</v>
      </c>
      <c r="D30" s="129">
        <f>'Emergency Fire Pump Emissions'!F45</f>
        <v>1.542072E-05</v>
      </c>
      <c r="E30" s="591"/>
      <c r="F30" s="595"/>
      <c r="G30" s="286">
        <f t="shared" si="0"/>
        <v>0.010939875900823808</v>
      </c>
      <c r="H30" s="11"/>
      <c r="I30" s="11"/>
      <c r="J30" s="12"/>
    </row>
    <row r="31" spans="1:10" ht="12.75">
      <c r="A31" s="55" t="s">
        <v>177</v>
      </c>
      <c r="B31" s="588"/>
      <c r="C31" s="589"/>
      <c r="D31" s="549"/>
      <c r="E31" s="129">
        <f>'Cooling Tower HAPs'!E27</f>
        <v>5.047019451575212E-05</v>
      </c>
      <c r="F31" s="595"/>
      <c r="G31" s="293">
        <f t="shared" si="0"/>
        <v>5.047019451575212E-05</v>
      </c>
      <c r="H31" s="11"/>
      <c r="I31" s="11"/>
      <c r="J31" s="12"/>
    </row>
    <row r="32" spans="1:10" ht="12.75">
      <c r="A32" s="55" t="s">
        <v>97</v>
      </c>
      <c r="B32" s="248">
        <f>'Turbine+Duct Burner HAPs'!E45</f>
        <v>0.32283857057502247</v>
      </c>
      <c r="C32" s="129">
        <f>'Aux Boiler Emissions'!E50</f>
        <v>3.697080997486952E-05</v>
      </c>
      <c r="D32" s="129">
        <f>'Emergency Fire Pump Emissions'!F46</f>
        <v>3.754211E-05</v>
      </c>
      <c r="E32" s="591"/>
      <c r="F32" s="595"/>
      <c r="G32" s="286">
        <f t="shared" si="0"/>
        <v>0.6457516540700198</v>
      </c>
      <c r="H32" s="11"/>
      <c r="I32" s="11"/>
      <c r="J32" s="12"/>
    </row>
    <row r="33" spans="1:10" ht="12.75">
      <c r="A33" s="55" t="s">
        <v>13</v>
      </c>
      <c r="B33" s="248">
        <f>'Turbine+Duct Burner HAPs'!E46</f>
        <v>0.15850537759879532</v>
      </c>
      <c r="C33" s="549"/>
      <c r="D33" s="129">
        <f>'Emergency Fire Pump Emissions'!F47</f>
        <v>2.6160150000000004E-05</v>
      </c>
      <c r="E33" s="591"/>
      <c r="F33" s="595"/>
      <c r="G33" s="286">
        <f t="shared" si="0"/>
        <v>0.31703691534759065</v>
      </c>
      <c r="H33" s="11"/>
      <c r="I33" s="11"/>
      <c r="J33" s="12"/>
    </row>
    <row r="34" spans="5:10" ht="12.75">
      <c r="E34" s="55" t="s">
        <v>126</v>
      </c>
      <c r="F34" s="289"/>
      <c r="G34" s="286">
        <f>SUM(G11:G33)</f>
        <v>6.588102296148748</v>
      </c>
      <c r="J34" s="12"/>
    </row>
    <row r="35" spans="1:12" ht="14.25">
      <c r="A35" s="424" t="s">
        <v>485</v>
      </c>
      <c r="F35" s="29"/>
      <c r="G35" s="29"/>
      <c r="H35" s="29"/>
      <c r="I35" s="29"/>
      <c r="J35" s="290"/>
      <c r="K35" s="90"/>
      <c r="L35" s="90"/>
    </row>
  </sheetData>
  <sheetProtection/>
  <mergeCells count="2">
    <mergeCell ref="B9:J9"/>
    <mergeCell ref="A1:J1"/>
  </mergeCells>
  <printOptions horizontalCentered="1"/>
  <pageMargins left="0.75" right="0.75" top="1" bottom="1" header="0.5" footer="0.5"/>
  <pageSetup fitToHeight="0" fitToWidth="1" horizontalDpi="300" verticalDpi="300" orientation="landscape" scale="85" r:id="rId2"/>
  <headerFooter alignWithMargins="0">
    <oddFooter>&amp;L&amp;D
&amp;C&amp;P of &amp;N&amp;R&amp;A</oddFooter>
  </headerFooter>
  <rowBreaks count="1" manualBreakCount="1">
    <brk id="35" max="255" man="1"/>
  </rowBreaks>
  <drawing r:id="rId1"/>
</worksheet>
</file>

<file path=xl/worksheets/sheet8.xml><?xml version="1.0" encoding="utf-8"?>
<worksheet xmlns="http://schemas.openxmlformats.org/spreadsheetml/2006/main" xmlns:r="http://schemas.openxmlformats.org/officeDocument/2006/relationships">
  <dimension ref="A1:N86"/>
  <sheetViews>
    <sheetView workbookViewId="0" topLeftCell="A1">
      <selection activeCell="I31" sqref="I31"/>
    </sheetView>
  </sheetViews>
  <sheetFormatPr defaultColWidth="8.7109375" defaultRowHeight="12.75"/>
  <cols>
    <col min="1" max="1" width="41.57421875" style="18" customWidth="1"/>
    <col min="2" max="2" width="24.28125" style="18" customWidth="1"/>
    <col min="3" max="16384" width="8.7109375" style="18" customWidth="1"/>
  </cols>
  <sheetData>
    <row r="1" spans="1:12" ht="33.75" customHeight="1">
      <c r="A1" s="675" t="s">
        <v>613</v>
      </c>
      <c r="B1" s="676"/>
      <c r="C1" s="676"/>
      <c r="D1" s="676"/>
      <c r="E1" s="676"/>
      <c r="F1" s="676"/>
      <c r="G1" s="676"/>
      <c r="H1" s="676"/>
      <c r="I1" s="676"/>
      <c r="J1" s="676"/>
      <c r="K1" s="676"/>
      <c r="L1" s="676"/>
    </row>
    <row r="2" spans="1:12" ht="15.75">
      <c r="A2" s="521"/>
      <c r="B2" s="522"/>
      <c r="C2" s="522"/>
      <c r="D2" s="522"/>
      <c r="E2" s="522"/>
      <c r="F2" s="522"/>
      <c r="G2" s="522"/>
      <c r="H2" s="522"/>
      <c r="I2" s="522"/>
      <c r="J2" s="522"/>
      <c r="K2" s="522"/>
      <c r="L2" s="522"/>
    </row>
    <row r="3" spans="1:12" ht="15.75">
      <c r="A3" s="436"/>
      <c r="B3" s="436"/>
      <c r="C3" s="436"/>
      <c r="D3" s="436"/>
      <c r="E3" s="436"/>
      <c r="F3" s="436"/>
      <c r="G3" s="436"/>
      <c r="H3" s="522"/>
      <c r="I3" s="522"/>
      <c r="J3" s="522"/>
      <c r="K3" s="522"/>
      <c r="L3" s="522"/>
    </row>
    <row r="4" spans="1:12" ht="15.75">
      <c r="A4" s="54" t="s">
        <v>87</v>
      </c>
      <c r="B4" s="54">
        <f>'Bowie Sources'!C6</f>
        <v>420</v>
      </c>
      <c r="C4" s="436" t="s">
        <v>272</v>
      </c>
      <c r="D4" s="436"/>
      <c r="E4" s="436"/>
      <c r="F4" s="436"/>
      <c r="G4" s="436"/>
      <c r="H4" s="522"/>
      <c r="I4" s="522"/>
      <c r="J4" s="522"/>
      <c r="K4" s="522"/>
      <c r="L4" s="522"/>
    </row>
    <row r="5" spans="1:7" ht="27">
      <c r="A5" s="531" t="s">
        <v>612</v>
      </c>
      <c r="B5" s="523">
        <v>2</v>
      </c>
      <c r="D5" s="67"/>
      <c r="E5" s="436"/>
      <c r="F5" s="436"/>
      <c r="G5" s="436"/>
    </row>
    <row r="6" spans="1:7" ht="12.75">
      <c r="A6" s="436" t="s">
        <v>492</v>
      </c>
      <c r="B6" s="436"/>
      <c r="C6" s="436"/>
      <c r="D6" s="436"/>
      <c r="E6" s="436"/>
      <c r="F6" s="436"/>
      <c r="G6" s="436"/>
    </row>
    <row r="7" spans="1:7" ht="12.75">
      <c r="A7" s="436"/>
      <c r="B7" s="436"/>
      <c r="C7" s="436"/>
      <c r="D7" s="436"/>
      <c r="E7" s="436"/>
      <c r="F7" s="436"/>
      <c r="G7" s="436"/>
    </row>
    <row r="8" spans="1:7" ht="14.25">
      <c r="A8" s="22" t="s">
        <v>631</v>
      </c>
      <c r="C8" s="22" t="s">
        <v>279</v>
      </c>
      <c r="D8" s="436"/>
      <c r="E8" s="436"/>
      <c r="F8" s="436"/>
      <c r="G8" s="436"/>
    </row>
    <row r="9" spans="3:6" ht="12.75">
      <c r="C9" s="674" t="s">
        <v>281</v>
      </c>
      <c r="D9" s="674"/>
      <c r="E9" s="674"/>
      <c r="F9" s="56"/>
    </row>
    <row r="10" spans="1:5" ht="14.25">
      <c r="A10" s="60" t="s">
        <v>157</v>
      </c>
      <c r="B10" s="61" t="s">
        <v>56</v>
      </c>
      <c r="C10" s="524" t="s">
        <v>241</v>
      </c>
      <c r="D10" s="62" t="s">
        <v>129</v>
      </c>
      <c r="E10" s="62" t="s">
        <v>128</v>
      </c>
    </row>
    <row r="11" spans="1:5" ht="12.75">
      <c r="A11" s="103" t="s">
        <v>161</v>
      </c>
      <c r="B11" s="511" t="s">
        <v>54</v>
      </c>
      <c r="C11" s="499">
        <f>MAX('Turbine Startup Emissions'!G16,'Turbine Startup Emissions'!B23,'Turbine Startup Emissions'!B30)</f>
        <v>101.32</v>
      </c>
      <c r="D11" s="499">
        <f>MAX('Turbine Startup Emissions'!H16,'Turbine Startup Emissions'!C23,'Turbine Startup Emissions'!C30)</f>
        <v>87.08</v>
      </c>
      <c r="E11" s="499">
        <f>MAX('Turbine Startup Emissions'!I16,'Turbine Startup Emissions'!D23,'Turbine Startup Emissions'!D30)</f>
        <v>92.82</v>
      </c>
    </row>
    <row r="12" spans="1:9" ht="12.75">
      <c r="A12" s="63" t="s">
        <v>158</v>
      </c>
      <c r="B12" s="65">
        <v>1</v>
      </c>
      <c r="C12" s="528">
        <v>90.1</v>
      </c>
      <c r="D12" s="528">
        <v>86.2</v>
      </c>
      <c r="E12" s="528">
        <v>82.8</v>
      </c>
      <c r="G12" s="642"/>
      <c r="H12" s="642"/>
      <c r="I12" s="642"/>
    </row>
    <row r="13" spans="1:9" ht="12.75">
      <c r="A13" s="63" t="s">
        <v>159</v>
      </c>
      <c r="B13" s="65">
        <v>1</v>
      </c>
      <c r="C13" s="528">
        <v>56.5</v>
      </c>
      <c r="D13" s="528">
        <v>52.6</v>
      </c>
      <c r="E13" s="528">
        <v>49.2</v>
      </c>
      <c r="G13" s="642"/>
      <c r="H13" s="642"/>
      <c r="I13" s="642"/>
    </row>
    <row r="14" spans="1:9" ht="12.75">
      <c r="A14" s="63" t="s">
        <v>160</v>
      </c>
      <c r="B14" s="65">
        <v>0.8</v>
      </c>
      <c r="C14" s="529">
        <v>47.1</v>
      </c>
      <c r="D14" s="529">
        <v>43.5</v>
      </c>
      <c r="E14" s="529">
        <v>38.9</v>
      </c>
      <c r="G14" s="642"/>
      <c r="H14" s="642"/>
      <c r="I14" s="642"/>
    </row>
    <row r="15" spans="1:9" ht="12.75">
      <c r="A15" s="63" t="s">
        <v>160</v>
      </c>
      <c r="B15" s="494" t="s">
        <v>569</v>
      </c>
      <c r="C15" s="529">
        <v>41</v>
      </c>
      <c r="D15" s="529">
        <v>33.3</v>
      </c>
      <c r="E15" s="529">
        <v>33.3</v>
      </c>
      <c r="G15" s="642"/>
      <c r="H15" s="642"/>
      <c r="I15" s="642"/>
    </row>
    <row r="17" spans="1:3" ht="14.25">
      <c r="A17" s="22" t="s">
        <v>162</v>
      </c>
      <c r="C17" s="22" t="s">
        <v>279</v>
      </c>
    </row>
    <row r="18" spans="3:6" ht="12.75">
      <c r="C18" s="674" t="s">
        <v>281</v>
      </c>
      <c r="D18" s="674"/>
      <c r="E18" s="674"/>
      <c r="F18" s="56"/>
    </row>
    <row r="19" spans="1:5" ht="14.25">
      <c r="A19" s="60" t="s">
        <v>157</v>
      </c>
      <c r="B19" s="61" t="s">
        <v>56</v>
      </c>
      <c r="C19" s="62" t="s">
        <v>241</v>
      </c>
      <c r="D19" s="62" t="s">
        <v>129</v>
      </c>
      <c r="E19" s="62" t="s">
        <v>128</v>
      </c>
    </row>
    <row r="20" spans="1:5" ht="12.75">
      <c r="A20" s="63" t="s">
        <v>286</v>
      </c>
      <c r="B20" s="511" t="s">
        <v>54</v>
      </c>
      <c r="C20" s="500">
        <f>C11</f>
        <v>101.32</v>
      </c>
      <c r="D20" s="500">
        <f>D11</f>
        <v>87.08</v>
      </c>
      <c r="E20" s="500">
        <f>E11</f>
        <v>92.82</v>
      </c>
    </row>
    <row r="21" spans="1:11" ht="12.75">
      <c r="A21" s="63" t="s">
        <v>158</v>
      </c>
      <c r="B21" s="65">
        <v>1</v>
      </c>
      <c r="C21" s="529">
        <v>15.6</v>
      </c>
      <c r="D21" s="529">
        <v>14.7</v>
      </c>
      <c r="E21" s="529">
        <v>14</v>
      </c>
      <c r="F21" s="18" t="s">
        <v>62</v>
      </c>
      <c r="I21" s="25">
        <f>MAX(C21:E24)</f>
        <v>15.6</v>
      </c>
      <c r="J21" s="18" t="s">
        <v>279</v>
      </c>
      <c r="K21" s="18" t="s">
        <v>154</v>
      </c>
    </row>
    <row r="22" spans="1:5" ht="12.75">
      <c r="A22" s="63" t="s">
        <v>159</v>
      </c>
      <c r="B22" s="65">
        <v>1</v>
      </c>
      <c r="C22" s="529">
        <v>12.6</v>
      </c>
      <c r="D22" s="529">
        <v>11.7</v>
      </c>
      <c r="E22" s="529">
        <v>10.9</v>
      </c>
    </row>
    <row r="23" spans="1:5" ht="12.75">
      <c r="A23" s="63" t="s">
        <v>160</v>
      </c>
      <c r="B23" s="65">
        <v>0.8</v>
      </c>
      <c r="C23" s="529">
        <v>10.5</v>
      </c>
      <c r="D23" s="529">
        <v>9.7</v>
      </c>
      <c r="E23" s="529">
        <v>8.6</v>
      </c>
    </row>
    <row r="24" spans="1:5" ht="12.75">
      <c r="A24" s="63" t="s">
        <v>160</v>
      </c>
      <c r="B24" s="494" t="s">
        <v>569</v>
      </c>
      <c r="C24" s="529">
        <v>9.1</v>
      </c>
      <c r="D24" s="529">
        <v>7.4</v>
      </c>
      <c r="E24" s="529">
        <v>7.4</v>
      </c>
    </row>
    <row r="25" ht="12.75">
      <c r="F25" s="56"/>
    </row>
    <row r="26" spans="1:3" ht="12.75">
      <c r="A26" s="22" t="s">
        <v>82</v>
      </c>
      <c r="C26" s="22" t="s">
        <v>279</v>
      </c>
    </row>
    <row r="27" spans="3:5" ht="12.75">
      <c r="C27" s="674" t="s">
        <v>281</v>
      </c>
      <c r="D27" s="674"/>
      <c r="E27" s="674"/>
    </row>
    <row r="28" spans="1:5" ht="14.25">
      <c r="A28" s="60" t="s">
        <v>157</v>
      </c>
      <c r="B28" s="61" t="s">
        <v>56</v>
      </c>
      <c r="C28" s="62" t="s">
        <v>241</v>
      </c>
      <c r="D28" s="62" t="s">
        <v>129</v>
      </c>
      <c r="E28" s="62" t="s">
        <v>128</v>
      </c>
    </row>
    <row r="29" spans="1:11" ht="12.75">
      <c r="A29" s="105" t="s">
        <v>286</v>
      </c>
      <c r="B29" s="64" t="s">
        <v>55</v>
      </c>
      <c r="C29" s="498">
        <f>MAX('Turbine Startup Emissions'!G17,'Turbine Startup Emissions'!B24,'Turbine Startup Emissions'!B31)</f>
        <v>262.28</v>
      </c>
      <c r="D29" s="498">
        <f>MAX('Turbine Startup Emissions'!H17,'Turbine Startup Emissions'!C24,'Turbine Startup Emissions'!C31)</f>
        <v>243.32</v>
      </c>
      <c r="E29" s="498">
        <f>MAX('Turbine Startup Emissions'!I17,'Turbine Startup Emissions'!D24,'Turbine Startup Emissions'!D31)</f>
        <v>240.28</v>
      </c>
      <c r="K29" s="525"/>
    </row>
    <row r="30" spans="1:9" ht="12.75">
      <c r="A30" s="63" t="s">
        <v>158</v>
      </c>
      <c r="B30" s="65">
        <v>1</v>
      </c>
      <c r="C30" s="528">
        <v>69.8</v>
      </c>
      <c r="D30" s="528">
        <v>67.6</v>
      </c>
      <c r="E30" s="528">
        <v>65.8</v>
      </c>
      <c r="G30" s="642"/>
      <c r="H30" s="642"/>
      <c r="I30" s="642"/>
    </row>
    <row r="31" spans="1:9" ht="12.75">
      <c r="A31" s="63" t="s">
        <v>159</v>
      </c>
      <c r="B31" s="65">
        <v>1</v>
      </c>
      <c r="C31" s="528">
        <v>27.8</v>
      </c>
      <c r="D31" s="528">
        <v>25.6</v>
      </c>
      <c r="E31" s="528">
        <v>23.8</v>
      </c>
      <c r="G31" s="642"/>
      <c r="H31" s="642"/>
      <c r="I31" s="642"/>
    </row>
    <row r="32" spans="1:9" ht="12.75">
      <c r="A32" s="63" t="s">
        <v>160</v>
      </c>
      <c r="B32" s="65">
        <v>0.8</v>
      </c>
      <c r="C32" s="529">
        <v>23</v>
      </c>
      <c r="D32" s="529">
        <v>21.2</v>
      </c>
      <c r="E32" s="529">
        <v>19.1</v>
      </c>
      <c r="G32" s="642"/>
      <c r="H32" s="642"/>
      <c r="I32" s="642"/>
    </row>
    <row r="33" spans="1:9" ht="12.75">
      <c r="A33" s="63" t="s">
        <v>160</v>
      </c>
      <c r="B33" s="494" t="s">
        <v>569</v>
      </c>
      <c r="C33" s="529">
        <v>20</v>
      </c>
      <c r="D33" s="529">
        <v>17.1</v>
      </c>
      <c r="E33" s="529">
        <v>17.4</v>
      </c>
      <c r="G33" s="642"/>
      <c r="H33" s="642"/>
      <c r="I33" s="642"/>
    </row>
    <row r="34" ht="12.75">
      <c r="F34" s="56"/>
    </row>
    <row r="35" spans="1:3" ht="12.75">
      <c r="A35" s="22" t="s">
        <v>81</v>
      </c>
      <c r="C35" s="22" t="s">
        <v>279</v>
      </c>
    </row>
    <row r="36" spans="3:5" ht="12.75">
      <c r="C36" s="674" t="s">
        <v>281</v>
      </c>
      <c r="D36" s="674"/>
      <c r="E36" s="674"/>
    </row>
    <row r="37" spans="1:5" ht="14.25">
      <c r="A37" s="60" t="s">
        <v>157</v>
      </c>
      <c r="B37" s="61" t="s">
        <v>56</v>
      </c>
      <c r="C37" s="62" t="s">
        <v>241</v>
      </c>
      <c r="D37" s="62" t="s">
        <v>129</v>
      </c>
      <c r="E37" s="62" t="s">
        <v>128</v>
      </c>
    </row>
    <row r="38" spans="1:5" ht="12.75">
      <c r="A38" s="63" t="s">
        <v>559</v>
      </c>
      <c r="B38" s="64" t="s">
        <v>55</v>
      </c>
      <c r="C38" s="499">
        <f>C29</f>
        <v>262.28</v>
      </c>
      <c r="D38" s="499">
        <f>D29</f>
        <v>243.32</v>
      </c>
      <c r="E38" s="499">
        <f>E29</f>
        <v>240.28</v>
      </c>
    </row>
    <row r="39" spans="1:11" ht="12.75">
      <c r="A39" s="63" t="s">
        <v>158</v>
      </c>
      <c r="B39" s="65">
        <v>1</v>
      </c>
      <c r="C39" s="529">
        <v>9.5</v>
      </c>
      <c r="D39" s="529">
        <v>9</v>
      </c>
      <c r="E39" s="529">
        <v>8.5</v>
      </c>
      <c r="F39" s="18" t="s">
        <v>62</v>
      </c>
      <c r="I39" s="25">
        <f>MAX(C39:E42)</f>
        <v>9.5</v>
      </c>
      <c r="J39" s="18" t="s">
        <v>279</v>
      </c>
      <c r="K39" s="18" t="s">
        <v>154</v>
      </c>
    </row>
    <row r="40" spans="1:5" ht="12.75">
      <c r="A40" s="63" t="s">
        <v>159</v>
      </c>
      <c r="B40" s="65">
        <v>1</v>
      </c>
      <c r="C40" s="529">
        <v>7.6</v>
      </c>
      <c r="D40" s="529">
        <v>7.1</v>
      </c>
      <c r="E40" s="529">
        <v>6.7</v>
      </c>
    </row>
    <row r="41" spans="1:5" ht="12.75">
      <c r="A41" s="63" t="s">
        <v>160</v>
      </c>
      <c r="B41" s="65">
        <v>0.8</v>
      </c>
      <c r="C41" s="529">
        <v>6.4</v>
      </c>
      <c r="D41" s="529">
        <v>5.9</v>
      </c>
      <c r="E41" s="529">
        <v>5.3</v>
      </c>
    </row>
    <row r="42" spans="1:5" ht="12.75">
      <c r="A42" s="63" t="s">
        <v>160</v>
      </c>
      <c r="B42" s="494" t="s">
        <v>569</v>
      </c>
      <c r="C42" s="529">
        <v>5.5</v>
      </c>
      <c r="D42" s="529">
        <v>4.5</v>
      </c>
      <c r="E42" s="529">
        <v>4.5</v>
      </c>
    </row>
    <row r="43" ht="12.75">
      <c r="F43" s="56"/>
    </row>
    <row r="44" spans="1:3" ht="12.75">
      <c r="A44" s="22" t="s">
        <v>83</v>
      </c>
      <c r="C44" s="22" t="s">
        <v>279</v>
      </c>
    </row>
    <row r="45" spans="3:5" ht="12.75">
      <c r="C45" s="674" t="s">
        <v>281</v>
      </c>
      <c r="D45" s="674"/>
      <c r="E45" s="674"/>
    </row>
    <row r="46" spans="1:14" ht="14.25">
      <c r="A46" s="60" t="s">
        <v>157</v>
      </c>
      <c r="B46" s="61" t="s">
        <v>56</v>
      </c>
      <c r="C46" s="62" t="s">
        <v>241</v>
      </c>
      <c r="D46" s="62" t="s">
        <v>129</v>
      </c>
      <c r="E46" s="62" t="s">
        <v>128</v>
      </c>
      <c r="H46" s="23"/>
      <c r="I46" s="23"/>
      <c r="J46" s="23"/>
      <c r="K46" s="23"/>
      <c r="L46" s="23"/>
      <c r="M46" s="23"/>
      <c r="N46" s="23"/>
    </row>
    <row r="47" spans="1:11" ht="12.75">
      <c r="A47" s="105" t="s">
        <v>286</v>
      </c>
      <c r="B47" s="64" t="s">
        <v>55</v>
      </c>
      <c r="C47" s="498">
        <f>MAX('Turbine Startup Emissions'!G18,'Turbine Startup Emissions'!B25,'Turbine Startup Emissions'!B32)</f>
        <v>17.56</v>
      </c>
      <c r="D47" s="498">
        <f>MAX('Turbine Startup Emissions'!H18,'Turbine Startup Emissions'!C25,'Turbine Startup Emissions'!C32)</f>
        <v>16.76</v>
      </c>
      <c r="E47" s="498">
        <f>MAX('Turbine Startup Emissions'!I18,'Turbine Startup Emissions'!D25,'Turbine Startup Emissions'!D32)</f>
        <v>16.06</v>
      </c>
      <c r="K47" s="525"/>
    </row>
    <row r="48" spans="1:5" ht="12.75">
      <c r="A48" s="63" t="s">
        <v>158</v>
      </c>
      <c r="B48" s="65">
        <v>1</v>
      </c>
      <c r="C48" s="529">
        <v>6.9</v>
      </c>
      <c r="D48" s="529">
        <v>6.7</v>
      </c>
      <c r="E48" s="529">
        <v>6.6</v>
      </c>
    </row>
    <row r="49" spans="1:5" ht="12.75">
      <c r="A49" s="63" t="s">
        <v>159</v>
      </c>
      <c r="B49" s="65">
        <v>1</v>
      </c>
      <c r="C49" s="529">
        <v>2.7</v>
      </c>
      <c r="D49" s="529">
        <v>2.5</v>
      </c>
      <c r="E49" s="529">
        <v>2.4</v>
      </c>
    </row>
    <row r="50" spans="1:5" ht="12.75">
      <c r="A50" s="63" t="s">
        <v>160</v>
      </c>
      <c r="B50" s="65">
        <v>0.8</v>
      </c>
      <c r="C50" s="529">
        <v>2.2</v>
      </c>
      <c r="D50" s="529">
        <v>2.1</v>
      </c>
      <c r="E50" s="529">
        <v>1.9</v>
      </c>
    </row>
    <row r="51" spans="1:5" ht="12.75">
      <c r="A51" s="63" t="s">
        <v>160</v>
      </c>
      <c r="B51" s="494" t="s">
        <v>569</v>
      </c>
      <c r="C51" s="529">
        <v>1.9</v>
      </c>
      <c r="D51" s="529">
        <v>1.7</v>
      </c>
      <c r="E51" s="529">
        <v>1.7</v>
      </c>
    </row>
    <row r="52" ht="12.75">
      <c r="F52" s="56"/>
    </row>
    <row r="53" spans="1:3" ht="12.75">
      <c r="A53" s="22" t="s">
        <v>84</v>
      </c>
      <c r="C53" s="22" t="s">
        <v>279</v>
      </c>
    </row>
    <row r="54" spans="3:5" ht="12.75">
      <c r="C54" s="674" t="s">
        <v>281</v>
      </c>
      <c r="D54" s="674"/>
      <c r="E54" s="674"/>
    </row>
    <row r="55" spans="1:14" ht="14.25">
      <c r="A55" s="60" t="s">
        <v>157</v>
      </c>
      <c r="B55" s="61" t="s">
        <v>56</v>
      </c>
      <c r="C55" s="62" t="s">
        <v>241</v>
      </c>
      <c r="D55" s="62" t="s">
        <v>129</v>
      </c>
      <c r="E55" s="62" t="s">
        <v>128</v>
      </c>
      <c r="H55" s="23"/>
      <c r="I55" s="23"/>
      <c r="J55" s="23"/>
      <c r="K55" s="23"/>
      <c r="L55" s="23"/>
      <c r="M55" s="23"/>
      <c r="N55" s="23"/>
    </row>
    <row r="56" spans="1:11" ht="12.75">
      <c r="A56" s="63" t="s">
        <v>559</v>
      </c>
      <c r="B56" s="64" t="s">
        <v>55</v>
      </c>
      <c r="C56" s="499">
        <f>C47</f>
        <v>17.56</v>
      </c>
      <c r="D56" s="499">
        <f>D47</f>
        <v>16.76</v>
      </c>
      <c r="E56" s="499">
        <f>E47</f>
        <v>16.06</v>
      </c>
      <c r="K56" s="25"/>
    </row>
    <row r="57" spans="1:11" ht="12.75">
      <c r="A57" s="63" t="s">
        <v>158</v>
      </c>
      <c r="B57" s="65">
        <v>1</v>
      </c>
      <c r="C57" s="529">
        <v>4.1</v>
      </c>
      <c r="D57" s="529">
        <v>4</v>
      </c>
      <c r="E57" s="529">
        <v>3.8</v>
      </c>
      <c r="F57" s="18" t="s">
        <v>62</v>
      </c>
      <c r="I57" s="25">
        <f>MAX(C57:E60)</f>
        <v>4.1</v>
      </c>
      <c r="J57" s="18" t="s">
        <v>279</v>
      </c>
      <c r="K57" s="18" t="s">
        <v>154</v>
      </c>
    </row>
    <row r="58" spans="1:5" ht="12.75">
      <c r="A58" s="63" t="s">
        <v>159</v>
      </c>
      <c r="B58" s="65">
        <v>1</v>
      </c>
      <c r="C58" s="529">
        <f aca="true" t="shared" si="0" ref="C58:E60">C49*(1-0.41)</f>
        <v>1.5930000000000004</v>
      </c>
      <c r="D58" s="529">
        <f t="shared" si="0"/>
        <v>1.475</v>
      </c>
      <c r="E58" s="529">
        <f t="shared" si="0"/>
        <v>1.4160000000000001</v>
      </c>
    </row>
    <row r="59" spans="1:5" ht="12.75">
      <c r="A59" s="63" t="s">
        <v>160</v>
      </c>
      <c r="B59" s="65">
        <v>0.8</v>
      </c>
      <c r="C59" s="529">
        <f t="shared" si="0"/>
        <v>1.2980000000000003</v>
      </c>
      <c r="D59" s="529">
        <f t="shared" si="0"/>
        <v>1.2390000000000003</v>
      </c>
      <c r="E59" s="529">
        <f t="shared" si="0"/>
        <v>1.121</v>
      </c>
    </row>
    <row r="60" spans="1:5" ht="12.75">
      <c r="A60" s="63" t="s">
        <v>160</v>
      </c>
      <c r="B60" s="494" t="s">
        <v>569</v>
      </c>
      <c r="C60" s="529">
        <f t="shared" si="0"/>
        <v>1.121</v>
      </c>
      <c r="D60" s="529">
        <f t="shared" si="0"/>
        <v>1.0030000000000001</v>
      </c>
      <c r="E60" s="529">
        <f t="shared" si="0"/>
        <v>1.0030000000000001</v>
      </c>
    </row>
    <row r="61" ht="12.75">
      <c r="F61" s="56"/>
    </row>
    <row r="62" spans="1:3" ht="14.25">
      <c r="A62" s="22" t="s">
        <v>193</v>
      </c>
      <c r="C62" s="22" t="s">
        <v>279</v>
      </c>
    </row>
    <row r="63" spans="3:5" ht="12.75">
      <c r="C63" s="674" t="s">
        <v>281</v>
      </c>
      <c r="D63" s="674"/>
      <c r="E63" s="674"/>
    </row>
    <row r="64" spans="1:11" ht="14.25">
      <c r="A64" s="60" t="s">
        <v>157</v>
      </c>
      <c r="B64" s="61" t="s">
        <v>56</v>
      </c>
      <c r="C64" s="62" t="s">
        <v>241</v>
      </c>
      <c r="D64" s="62" t="s">
        <v>129</v>
      </c>
      <c r="E64" s="62" t="s">
        <v>128</v>
      </c>
      <c r="K64" s="25"/>
    </row>
    <row r="65" spans="1:10" ht="12.75">
      <c r="A65" s="63" t="s">
        <v>161</v>
      </c>
      <c r="B65" s="64" t="s">
        <v>55</v>
      </c>
      <c r="C65" s="498">
        <f>C67</f>
        <v>3.6</v>
      </c>
      <c r="D65" s="498">
        <f>D67</f>
        <v>3.4</v>
      </c>
      <c r="E65" s="498">
        <f>E67</f>
        <v>3.2</v>
      </c>
      <c r="F65" s="18" t="s">
        <v>62</v>
      </c>
      <c r="I65" s="25">
        <f>MAX(C66:E69)</f>
        <v>4.1</v>
      </c>
      <c r="J65" s="18" t="s">
        <v>279</v>
      </c>
    </row>
    <row r="66" spans="1:5" ht="12.75">
      <c r="A66" s="63" t="s">
        <v>158</v>
      </c>
      <c r="B66" s="65">
        <v>1</v>
      </c>
      <c r="C66" s="530">
        <v>4.1</v>
      </c>
      <c r="D66" s="530">
        <v>3.8</v>
      </c>
      <c r="E66" s="530">
        <v>3.6</v>
      </c>
    </row>
    <row r="67" spans="1:5" ht="12.75">
      <c r="A67" s="63" t="s">
        <v>159</v>
      </c>
      <c r="B67" s="65">
        <v>1</v>
      </c>
      <c r="C67" s="510">
        <v>3.6</v>
      </c>
      <c r="D67" s="510">
        <v>3.4</v>
      </c>
      <c r="E67" s="510">
        <v>3.2</v>
      </c>
    </row>
    <row r="68" spans="1:5" ht="12.75">
      <c r="A68" s="63" t="s">
        <v>160</v>
      </c>
      <c r="B68" s="65">
        <v>0.8</v>
      </c>
      <c r="C68" s="510">
        <v>3</v>
      </c>
      <c r="D68" s="510">
        <v>2.8</v>
      </c>
      <c r="E68" s="510">
        <v>2.5</v>
      </c>
    </row>
    <row r="69" spans="1:5" ht="12.75">
      <c r="A69" s="63" t="s">
        <v>160</v>
      </c>
      <c r="B69" s="494" t="s">
        <v>569</v>
      </c>
      <c r="C69" s="510">
        <v>2.6</v>
      </c>
      <c r="D69" s="510">
        <v>2.1</v>
      </c>
      <c r="E69" s="510">
        <v>2.1</v>
      </c>
    </row>
    <row r="70" spans="1:6" ht="12.75">
      <c r="A70" s="22"/>
      <c r="B70" s="526"/>
      <c r="F70" s="56"/>
    </row>
    <row r="71" spans="1:3" ht="14.25">
      <c r="A71" s="22" t="s">
        <v>293</v>
      </c>
      <c r="C71" s="22" t="s">
        <v>279</v>
      </c>
    </row>
    <row r="72" spans="3:5" ht="12.75">
      <c r="C72" s="674" t="s">
        <v>281</v>
      </c>
      <c r="D72" s="674"/>
      <c r="E72" s="674"/>
    </row>
    <row r="73" spans="1:11" ht="14.25">
      <c r="A73" s="60" t="s">
        <v>157</v>
      </c>
      <c r="B73" s="61" t="s">
        <v>56</v>
      </c>
      <c r="C73" s="62" t="s">
        <v>241</v>
      </c>
      <c r="D73" s="62" t="s">
        <v>129</v>
      </c>
      <c r="E73" s="62" t="s">
        <v>128</v>
      </c>
      <c r="K73" s="25"/>
    </row>
    <row r="74" spans="1:5" ht="12.75">
      <c r="A74" s="63" t="s">
        <v>161</v>
      </c>
      <c r="B74" s="64" t="s">
        <v>55</v>
      </c>
      <c r="C74" s="498">
        <v>6.5</v>
      </c>
      <c r="D74" s="498">
        <v>6.5</v>
      </c>
      <c r="E74" s="498">
        <v>6.5</v>
      </c>
    </row>
    <row r="75" spans="1:10" ht="12.75">
      <c r="A75" s="63" t="s">
        <v>158</v>
      </c>
      <c r="B75" s="65">
        <v>1</v>
      </c>
      <c r="C75" s="530">
        <f>C76+$B$5</f>
        <v>8.5</v>
      </c>
      <c r="D75" s="530">
        <f>D76+B5</f>
        <v>8.5</v>
      </c>
      <c r="E75" s="530">
        <f>E74+B5</f>
        <v>8.5</v>
      </c>
      <c r="F75" s="18" t="s">
        <v>62</v>
      </c>
      <c r="I75" s="25">
        <f>MAX(C75:E78)</f>
        <v>8.5</v>
      </c>
      <c r="J75" s="18" t="s">
        <v>279</v>
      </c>
    </row>
    <row r="76" spans="1:5" ht="12.75">
      <c r="A76" s="63" t="s">
        <v>159</v>
      </c>
      <c r="B76" s="65">
        <v>1</v>
      </c>
      <c r="C76" s="530">
        <v>6.5</v>
      </c>
      <c r="D76" s="530">
        <v>6.5</v>
      </c>
      <c r="E76" s="530">
        <v>6.5</v>
      </c>
    </row>
    <row r="77" spans="1:5" ht="12.75">
      <c r="A77" s="63" t="s">
        <v>160</v>
      </c>
      <c r="B77" s="65">
        <v>0.8</v>
      </c>
      <c r="C77" s="530">
        <v>6.5</v>
      </c>
      <c r="D77" s="530">
        <v>6.5</v>
      </c>
      <c r="E77" s="530">
        <v>6.5</v>
      </c>
    </row>
    <row r="78" spans="1:8" ht="12.75">
      <c r="A78" s="63" t="s">
        <v>160</v>
      </c>
      <c r="B78" s="494" t="s">
        <v>569</v>
      </c>
      <c r="C78" s="530">
        <v>6.5</v>
      </c>
      <c r="D78" s="530">
        <v>6.5</v>
      </c>
      <c r="E78" s="530">
        <v>6.5</v>
      </c>
      <c r="H78" s="527"/>
    </row>
    <row r="79" spans="3:6" ht="12.75">
      <c r="C79" s="22"/>
      <c r="F79" s="527"/>
    </row>
    <row r="80" spans="3:5" ht="12.75">
      <c r="C80" s="527"/>
      <c r="D80" s="527"/>
      <c r="E80" s="527"/>
    </row>
    <row r="81" spans="3:5" ht="12.75">
      <c r="C81" s="527"/>
      <c r="D81" s="527"/>
      <c r="E81" s="527"/>
    </row>
    <row r="82" ht="12.75">
      <c r="B82" s="526"/>
    </row>
    <row r="83" ht="12.75">
      <c r="B83" s="526"/>
    </row>
    <row r="84" ht="12.75">
      <c r="B84" s="526"/>
    </row>
    <row r="85" ht="12.75">
      <c r="B85" s="526"/>
    </row>
    <row r="86" ht="12.75">
      <c r="B86" s="526"/>
    </row>
  </sheetData>
  <sheetProtection/>
  <mergeCells count="9">
    <mergeCell ref="C63:E63"/>
    <mergeCell ref="C72:E72"/>
    <mergeCell ref="A1:L1"/>
    <mergeCell ref="C9:E9"/>
    <mergeCell ref="C18:E18"/>
    <mergeCell ref="C27:E27"/>
    <mergeCell ref="C36:E36"/>
    <mergeCell ref="C45:E45"/>
    <mergeCell ref="C54:E54"/>
  </mergeCells>
  <printOptions horizontalCentered="1"/>
  <pageMargins left="0.75" right="0.75" top="1" bottom="1" header="0.5" footer="0.5"/>
  <pageSetup fitToHeight="0" horizontalDpi="600" verticalDpi="600" orientation="landscape" scale="75" r:id="rId2"/>
  <headerFooter alignWithMargins="0">
    <oddFooter>&amp;L&amp;D
&amp;C&amp;P of &amp;N&amp;R&amp;A</oddFooter>
  </headerFooter>
  <rowBreaks count="1" manualBreakCount="1">
    <brk id="43" max="255" man="1"/>
  </rowBreaks>
  <drawing r:id="rId1"/>
</worksheet>
</file>

<file path=xl/worksheets/sheet9.xml><?xml version="1.0" encoding="utf-8"?>
<worksheet xmlns="http://schemas.openxmlformats.org/spreadsheetml/2006/main" xmlns:r="http://schemas.openxmlformats.org/officeDocument/2006/relationships">
  <dimension ref="A1:L71"/>
  <sheetViews>
    <sheetView zoomScalePageLayoutView="0" workbookViewId="0" topLeftCell="A1">
      <selection activeCell="E49" sqref="E49"/>
    </sheetView>
  </sheetViews>
  <sheetFormatPr defaultColWidth="8.7109375" defaultRowHeight="12.75"/>
  <cols>
    <col min="1" max="3" width="8.7109375" style="0" customWidth="1"/>
    <col min="4" max="4" width="12.140625" style="0" customWidth="1"/>
    <col min="5" max="5" width="13.28125" style="0" bestFit="1" customWidth="1"/>
    <col min="6" max="6" width="17.28125" style="0" bestFit="1" customWidth="1"/>
    <col min="7" max="7" width="8.7109375" style="0" customWidth="1"/>
    <col min="8" max="8" width="8.8515625" style="0" bestFit="1" customWidth="1"/>
    <col min="9" max="10" width="10.421875" style="0" customWidth="1"/>
  </cols>
  <sheetData>
    <row r="1" spans="1:12" ht="34.5" customHeight="1">
      <c r="A1" s="660" t="s">
        <v>330</v>
      </c>
      <c r="B1" s="660"/>
      <c r="C1" s="660"/>
      <c r="D1" s="660"/>
      <c r="E1" s="660"/>
      <c r="F1" s="660"/>
      <c r="G1" s="660"/>
      <c r="H1" s="660"/>
      <c r="I1" s="660"/>
      <c r="J1" s="660"/>
      <c r="K1" s="660"/>
      <c r="L1" s="660"/>
    </row>
    <row r="3" spans="1:9" ht="12.75">
      <c r="A3" s="678" t="s">
        <v>178</v>
      </c>
      <c r="B3" s="678"/>
      <c r="C3" s="678"/>
      <c r="D3" s="678"/>
      <c r="E3" s="678"/>
      <c r="F3" s="678"/>
      <c r="G3" s="678"/>
      <c r="H3" s="540">
        <f>'Bowie Sources'!E6</f>
        <v>4224</v>
      </c>
      <c r="I3" s="59" t="s">
        <v>58</v>
      </c>
    </row>
    <row r="4" spans="1:9" ht="12.75">
      <c r="A4" s="679" t="s">
        <v>595</v>
      </c>
      <c r="B4" s="680"/>
      <c r="C4" s="680"/>
      <c r="D4" s="680"/>
      <c r="E4" s="680"/>
      <c r="F4" s="680"/>
      <c r="G4" s="681"/>
      <c r="H4" s="541">
        <f>'Turbine Shutdown Emissions'!B2*'Turbine Shutdown Emissions'!B3</f>
        <v>91.25</v>
      </c>
      <c r="I4" s="103" t="s">
        <v>58</v>
      </c>
    </row>
    <row r="5" spans="1:8" ht="12.75">
      <c r="A5" s="683" t="s">
        <v>74</v>
      </c>
      <c r="B5" s="683"/>
      <c r="C5" s="683"/>
      <c r="D5" s="683"/>
      <c r="E5" s="683"/>
      <c r="F5" s="683"/>
      <c r="G5" s="683"/>
      <c r="H5" s="542">
        <f>'Bowie Sources'!E5</f>
        <v>0.95</v>
      </c>
    </row>
    <row r="6" spans="1:9" ht="12.75">
      <c r="A6" s="678" t="s">
        <v>551</v>
      </c>
      <c r="B6" s="678"/>
      <c r="C6" s="678"/>
      <c r="D6" s="678"/>
      <c r="E6" s="678"/>
      <c r="F6" s="678"/>
      <c r="G6" s="678"/>
      <c r="H6" s="499">
        <f>(8760*H5)-H3-H4-H7</f>
        <v>3681.75</v>
      </c>
      <c r="I6" s="59" t="s">
        <v>58</v>
      </c>
    </row>
    <row r="7" spans="1:9" ht="12.75">
      <c r="A7" s="678" t="s">
        <v>596</v>
      </c>
      <c r="B7" s="678"/>
      <c r="C7" s="678"/>
      <c r="D7" s="678"/>
      <c r="E7" s="678"/>
      <c r="F7" s="678"/>
      <c r="G7" s="678"/>
      <c r="H7" s="529">
        <f>'Turbine Startup Emissions'!B9</f>
        <v>325</v>
      </c>
      <c r="I7" s="59" t="s">
        <v>58</v>
      </c>
    </row>
    <row r="8" spans="7:11" ht="12.75">
      <c r="G8" s="59" t="s">
        <v>107</v>
      </c>
      <c r="H8" s="529">
        <f>H3+H4+H6+H7</f>
        <v>8322</v>
      </c>
      <c r="I8" s="59" t="s">
        <v>58</v>
      </c>
      <c r="K8" s="18"/>
    </row>
    <row r="9" spans="1:10" ht="12.75">
      <c r="A9" s="19"/>
      <c r="B9" s="19"/>
      <c r="C9" s="19"/>
      <c r="D9" s="19"/>
      <c r="E9" s="19"/>
      <c r="F9" s="19"/>
      <c r="G9" s="19"/>
      <c r="H9" s="19"/>
      <c r="I9" s="19"/>
      <c r="J9" s="19"/>
    </row>
    <row r="10" spans="1:5" ht="12.75">
      <c r="A10" s="1" t="s">
        <v>64</v>
      </c>
      <c r="E10" s="33" t="s">
        <v>61</v>
      </c>
    </row>
    <row r="11" spans="1:5" ht="12.75">
      <c r="A11" s="677" t="s">
        <v>60</v>
      </c>
      <c r="B11" s="677"/>
      <c r="C11" s="677"/>
      <c r="D11" s="677"/>
      <c r="E11" s="543">
        <f>'Turbine and Duct Burner Hourly'!D11*H7/2000</f>
        <v>14.1505</v>
      </c>
    </row>
    <row r="12" spans="1:5" ht="12.75">
      <c r="A12" s="678" t="s">
        <v>158</v>
      </c>
      <c r="B12" s="678"/>
      <c r="C12" s="678"/>
      <c r="D12" s="678"/>
      <c r="E12" s="544">
        <f>MAX('Turbine and Duct Burner Hourly'!D12:D12)*H3/2000</f>
        <v>182.0544</v>
      </c>
    </row>
    <row r="13" spans="1:5" ht="12.75">
      <c r="A13" s="678" t="s">
        <v>159</v>
      </c>
      <c r="B13" s="678"/>
      <c r="C13" s="678"/>
      <c r="D13" s="678"/>
      <c r="E13" s="544">
        <f>MAX('Turbine and Duct Burner Hourly'!D13:D15)*H6/2000</f>
        <v>96.830025</v>
      </c>
    </row>
    <row r="14" spans="1:5" ht="12.75">
      <c r="A14" s="682" t="s">
        <v>265</v>
      </c>
      <c r="B14" s="680"/>
      <c r="C14" s="680"/>
      <c r="D14" s="681"/>
      <c r="E14" s="644">
        <f>'Turbine Shutdown Emissions'!B23</f>
        <v>6.55175</v>
      </c>
    </row>
    <row r="15" spans="1:5" ht="12.75">
      <c r="A15" s="6"/>
      <c r="B15" s="68"/>
      <c r="C15" s="68"/>
      <c r="D15" s="102" t="s">
        <v>17</v>
      </c>
      <c r="E15" s="545">
        <f>SUM(E11:E14)</f>
        <v>299.586675</v>
      </c>
    </row>
    <row r="16" ht="12.75">
      <c r="E16" s="18"/>
    </row>
    <row r="17" spans="1:5" ht="12.75">
      <c r="A17" s="1" t="s">
        <v>59</v>
      </c>
      <c r="E17" s="61" t="s">
        <v>61</v>
      </c>
    </row>
    <row r="18" spans="1:5" ht="12.75">
      <c r="A18" s="677" t="s">
        <v>142</v>
      </c>
      <c r="B18" s="677"/>
      <c r="C18" s="677"/>
      <c r="D18" s="677"/>
      <c r="E18" s="499">
        <f>'Turbine and Duct Burner Hourly'!D20*H7/2000</f>
        <v>14.1505</v>
      </c>
    </row>
    <row r="19" spans="1:5" ht="12.75">
      <c r="A19" s="678" t="s">
        <v>158</v>
      </c>
      <c r="B19" s="678"/>
      <c r="C19" s="678"/>
      <c r="D19" s="678"/>
      <c r="E19" s="499">
        <f>MAX('Turbine and Duct Burner Hourly'!D21:D21)*H3/2000</f>
        <v>31.0464</v>
      </c>
    </row>
    <row r="20" spans="1:5" ht="12.75">
      <c r="A20" s="678" t="s">
        <v>159</v>
      </c>
      <c r="B20" s="678"/>
      <c r="C20" s="678"/>
      <c r="D20" s="678"/>
      <c r="E20" s="499">
        <f>MAX('Turbine and Duct Burner Hourly'!D22:D24)*H6/2000</f>
        <v>21.5382375</v>
      </c>
    </row>
    <row r="21" spans="1:5" ht="12.75">
      <c r="A21" s="677" t="s">
        <v>265</v>
      </c>
      <c r="B21" s="678"/>
      <c r="C21" s="678"/>
      <c r="D21" s="678"/>
      <c r="E21" s="645">
        <f>'Turbine Shutdown Emissions'!C23</f>
        <v>2.732025</v>
      </c>
    </row>
    <row r="22" spans="2:5" ht="12.75">
      <c r="B22" s="17"/>
      <c r="C22" s="17"/>
      <c r="D22" s="102" t="s">
        <v>17</v>
      </c>
      <c r="E22" s="546">
        <f>SUM(E18:E21)</f>
        <v>69.4671625</v>
      </c>
    </row>
    <row r="23" ht="12.75">
      <c r="E23" s="18"/>
    </row>
    <row r="24" spans="1:5" ht="12.75">
      <c r="A24" s="1" t="s">
        <v>77</v>
      </c>
      <c r="E24" s="61" t="s">
        <v>61</v>
      </c>
    </row>
    <row r="25" spans="1:5" ht="12.75">
      <c r="A25" s="677" t="s">
        <v>60</v>
      </c>
      <c r="B25" s="677"/>
      <c r="C25" s="677"/>
      <c r="D25" s="677"/>
      <c r="E25" s="499">
        <f>'Turbine and Duct Burner Hourly'!D29*H7/2000</f>
        <v>39.5395</v>
      </c>
    </row>
    <row r="26" spans="1:5" ht="12.75">
      <c r="A26" s="678" t="s">
        <v>158</v>
      </c>
      <c r="B26" s="678"/>
      <c r="C26" s="678"/>
      <c r="D26" s="678"/>
      <c r="E26" s="499">
        <f>MAX('Turbine and Duct Burner Hourly'!D30:D30)*H3/2000</f>
        <v>142.7712</v>
      </c>
    </row>
    <row r="27" spans="1:5" ht="12.75">
      <c r="A27" s="678" t="s">
        <v>159</v>
      </c>
      <c r="B27" s="678"/>
      <c r="C27" s="678"/>
      <c r="D27" s="678"/>
      <c r="E27" s="499">
        <f>MAX('Turbine and Duct Burner Hourly'!D31:D33)*H6/2000</f>
        <v>47.126400000000004</v>
      </c>
    </row>
    <row r="28" spans="1:5" ht="12.75">
      <c r="A28" s="682" t="s">
        <v>265</v>
      </c>
      <c r="B28" s="680"/>
      <c r="C28" s="680"/>
      <c r="D28" s="681"/>
      <c r="E28" s="645">
        <f>'Turbine Shutdown Emissions'!B24</f>
        <v>19.199</v>
      </c>
    </row>
    <row r="29" spans="2:5" ht="12.75">
      <c r="B29" s="1"/>
      <c r="C29" s="1"/>
      <c r="D29" s="104" t="s">
        <v>17</v>
      </c>
      <c r="E29" s="547">
        <f>SUM(E25:E28)</f>
        <v>248.6361</v>
      </c>
    </row>
    <row r="30" ht="12.75">
      <c r="E30" s="18"/>
    </row>
    <row r="31" spans="1:5" ht="12.75">
      <c r="A31" s="1" t="s">
        <v>78</v>
      </c>
      <c r="E31" s="61" t="s">
        <v>61</v>
      </c>
    </row>
    <row r="32" spans="1:5" ht="12.75">
      <c r="A32" s="677" t="s">
        <v>142</v>
      </c>
      <c r="B32" s="677"/>
      <c r="C32" s="677"/>
      <c r="D32" s="677"/>
      <c r="E32" s="499">
        <f>'Turbine and Duct Burner Hourly'!D38*H7/2000</f>
        <v>39.5395</v>
      </c>
    </row>
    <row r="33" spans="1:5" ht="12.75">
      <c r="A33" s="678" t="s">
        <v>158</v>
      </c>
      <c r="B33" s="678"/>
      <c r="C33" s="678"/>
      <c r="D33" s="678"/>
      <c r="E33" s="499">
        <f>MAX('Turbine and Duct Burner Hourly'!D39:D39)*H3/2000</f>
        <v>19.008</v>
      </c>
    </row>
    <row r="34" spans="1:5" ht="12.75">
      <c r="A34" s="678" t="s">
        <v>159</v>
      </c>
      <c r="B34" s="678"/>
      <c r="C34" s="678"/>
      <c r="D34" s="678"/>
      <c r="E34" s="499">
        <f>MAX('Turbine and Duct Burner Hourly'!D40:D42)*H6/2000</f>
        <v>13.0702125</v>
      </c>
    </row>
    <row r="35" spans="1:5" ht="12.75">
      <c r="A35" s="677" t="s">
        <v>265</v>
      </c>
      <c r="B35" s="678"/>
      <c r="C35" s="678"/>
      <c r="D35" s="678"/>
      <c r="E35" s="645">
        <f>'Turbine Shutdown Emissions'!C24</f>
        <v>8.92425</v>
      </c>
    </row>
    <row r="36" spans="2:5" ht="12.75">
      <c r="B36" s="1"/>
      <c r="C36" s="1"/>
      <c r="D36" s="104" t="s">
        <v>17</v>
      </c>
      <c r="E36" s="547">
        <f>SUM(E32:E35)</f>
        <v>80.5419625</v>
      </c>
    </row>
    <row r="37" ht="12.75">
      <c r="E37" s="18"/>
    </row>
    <row r="38" spans="1:5" ht="12.75">
      <c r="A38" s="1" t="s">
        <v>79</v>
      </c>
      <c r="E38" s="61" t="s">
        <v>61</v>
      </c>
    </row>
    <row r="39" spans="1:5" ht="12.75">
      <c r="A39" s="677" t="s">
        <v>60</v>
      </c>
      <c r="B39" s="677"/>
      <c r="C39" s="677"/>
      <c r="D39" s="677"/>
      <c r="E39" s="499">
        <f>'Turbine and Duct Burner Hourly'!D47*H7/2000</f>
        <v>2.7235000000000005</v>
      </c>
    </row>
    <row r="40" spans="1:5" ht="12.75">
      <c r="A40" s="678" t="s">
        <v>158</v>
      </c>
      <c r="B40" s="678"/>
      <c r="C40" s="678"/>
      <c r="D40" s="678"/>
      <c r="E40" s="499">
        <f>MAX('Turbine and Duct Burner Hourly'!D48:D48)*H3/2000</f>
        <v>14.1504</v>
      </c>
    </row>
    <row r="41" spans="1:5" ht="12.75">
      <c r="A41" s="678" t="s">
        <v>159</v>
      </c>
      <c r="B41" s="678"/>
      <c r="C41" s="678"/>
      <c r="D41" s="678"/>
      <c r="E41" s="499">
        <f>MAX('Turbine and Duct Burner Hourly'!D49:D51)*H6/2000</f>
        <v>4.6021875</v>
      </c>
    </row>
    <row r="42" spans="1:5" ht="12.75">
      <c r="A42" s="677" t="s">
        <v>265</v>
      </c>
      <c r="B42" s="678"/>
      <c r="C42" s="678"/>
      <c r="D42" s="678"/>
      <c r="E42" s="499">
        <f>'Turbine Shutdown Emissions'!B25</f>
        <v>1.0840500000000002</v>
      </c>
    </row>
    <row r="43" spans="2:5" ht="12.75">
      <c r="B43" s="1"/>
      <c r="C43" s="1"/>
      <c r="D43" s="104" t="s">
        <v>17</v>
      </c>
      <c r="E43" s="547">
        <f>SUM(E39:E42)</f>
        <v>22.5601375</v>
      </c>
    </row>
    <row r="44" ht="12.75">
      <c r="E44" s="18"/>
    </row>
    <row r="45" spans="1:5" ht="12.75">
      <c r="A45" s="1" t="s">
        <v>80</v>
      </c>
      <c r="E45" s="61" t="s">
        <v>61</v>
      </c>
    </row>
    <row r="46" spans="1:5" ht="12.75">
      <c r="A46" s="677" t="s">
        <v>142</v>
      </c>
      <c r="B46" s="677"/>
      <c r="C46" s="677"/>
      <c r="D46" s="677"/>
      <c r="E46" s="499">
        <f>'Turbine and Duct Burner Hourly'!D56*H7/2000</f>
        <v>2.7235000000000005</v>
      </c>
    </row>
    <row r="47" spans="1:5" ht="12.75">
      <c r="A47" s="678" t="s">
        <v>158</v>
      </c>
      <c r="B47" s="678"/>
      <c r="C47" s="678"/>
      <c r="D47" s="678"/>
      <c r="E47" s="499">
        <f>MAX('Turbine and Duct Burner Hourly'!D57:D57)*H3/2000</f>
        <v>8.448</v>
      </c>
    </row>
    <row r="48" spans="1:5" ht="12.75">
      <c r="A48" s="678" t="s">
        <v>159</v>
      </c>
      <c r="B48" s="678"/>
      <c r="C48" s="678"/>
      <c r="D48" s="678"/>
      <c r="E48" s="499">
        <f>MAX('Turbine and Duct Burner Hourly'!D58:D60)*H6/2000</f>
        <v>2.715290625</v>
      </c>
    </row>
    <row r="49" spans="1:5" ht="12.75">
      <c r="A49" s="677" t="s">
        <v>265</v>
      </c>
      <c r="B49" s="678"/>
      <c r="C49" s="678"/>
      <c r="D49" s="678"/>
      <c r="E49" s="499">
        <f>'Turbine Shutdown Emissions'!C25</f>
        <v>1.0840500000000002</v>
      </c>
    </row>
    <row r="50" spans="2:5" ht="12.75">
      <c r="B50" s="1"/>
      <c r="C50" s="1"/>
      <c r="D50" s="1" t="s">
        <v>17</v>
      </c>
      <c r="E50" s="547">
        <f>SUM(E46:E49)</f>
        <v>14.970840625000001</v>
      </c>
    </row>
    <row r="51" ht="12.75">
      <c r="E51" s="18"/>
    </row>
    <row r="52" spans="1:5" ht="14.25">
      <c r="A52" s="1" t="s">
        <v>63</v>
      </c>
      <c r="E52" s="61" t="s">
        <v>61</v>
      </c>
    </row>
    <row r="53" spans="1:5" ht="12.75">
      <c r="A53" s="677" t="s">
        <v>60</v>
      </c>
      <c r="B53" s="677"/>
      <c r="C53" s="677"/>
      <c r="D53" s="677"/>
      <c r="E53" s="499">
        <f>'Turbine and Duct Burner Hourly'!D65*H7/2000</f>
        <v>0.5525</v>
      </c>
    </row>
    <row r="54" spans="1:5" ht="12.75">
      <c r="A54" s="678" t="s">
        <v>158</v>
      </c>
      <c r="B54" s="678"/>
      <c r="C54" s="678"/>
      <c r="D54" s="678"/>
      <c r="E54" s="499">
        <f>MAX('Turbine and Duct Burner Hourly'!D66:D66)*H3/2000</f>
        <v>8.025599999999999</v>
      </c>
    </row>
    <row r="55" spans="1:5" ht="12.75">
      <c r="A55" s="678" t="s">
        <v>159</v>
      </c>
      <c r="B55" s="678"/>
      <c r="C55" s="678"/>
      <c r="D55" s="678"/>
      <c r="E55" s="499">
        <f>MAX('Turbine and Duct Burner Hourly'!D67:D69)*H6/2000</f>
        <v>6.2589749999999995</v>
      </c>
    </row>
    <row r="56" spans="1:5" ht="12.75">
      <c r="A56" s="677" t="s">
        <v>265</v>
      </c>
      <c r="B56" s="678"/>
      <c r="C56" s="678"/>
      <c r="D56" s="678"/>
      <c r="E56" s="499">
        <f>MAX('Turbine and Duct Burner Hourly'!C67:E69)*'Turbine and Duct Burner Annual'!H4/2000</f>
        <v>0.16425</v>
      </c>
    </row>
    <row r="57" spans="2:5" ht="12.75">
      <c r="B57" s="1"/>
      <c r="C57" s="1"/>
      <c r="D57" s="104" t="s">
        <v>17</v>
      </c>
      <c r="E57" s="547">
        <f>SUM(E53:E56)</f>
        <v>15.001324999999998</v>
      </c>
    </row>
    <row r="58" ht="12.75">
      <c r="E58" s="18"/>
    </row>
    <row r="59" spans="1:5" ht="14.25">
      <c r="A59" s="1" t="s">
        <v>343</v>
      </c>
      <c r="E59" s="61" t="s">
        <v>61</v>
      </c>
    </row>
    <row r="60" spans="1:5" ht="12.75">
      <c r="A60" s="677" t="s">
        <v>60</v>
      </c>
      <c r="B60" s="677"/>
      <c r="C60" s="677"/>
      <c r="D60" s="677"/>
      <c r="E60" s="499">
        <f>'Turbine and Duct Burner Hourly'!D74*H7/2000</f>
        <v>1.05625</v>
      </c>
    </row>
    <row r="61" spans="1:5" ht="12.75">
      <c r="A61" s="678" t="s">
        <v>158</v>
      </c>
      <c r="B61" s="678"/>
      <c r="C61" s="678"/>
      <c r="D61" s="678"/>
      <c r="E61" s="499">
        <f>MAX('Turbine and Duct Burner Hourly'!D75:D75)*H3/2000</f>
        <v>17.952</v>
      </c>
    </row>
    <row r="62" spans="1:5" ht="12.75">
      <c r="A62" s="678" t="s">
        <v>159</v>
      </c>
      <c r="B62" s="678"/>
      <c r="C62" s="678"/>
      <c r="D62" s="678"/>
      <c r="E62" s="499">
        <f>MAX('Turbine and Duct Burner Hourly'!D76:D78)*H6/2000</f>
        <v>11.9656875</v>
      </c>
    </row>
    <row r="63" spans="1:5" ht="12.75">
      <c r="A63" s="677" t="s">
        <v>265</v>
      </c>
      <c r="B63" s="678"/>
      <c r="C63" s="678"/>
      <c r="D63" s="678"/>
      <c r="E63" s="499">
        <f>MAX('Turbine and Duct Burner Hourly'!C76:E78)*'Turbine and Duct Burner Annual'!H4/2000</f>
        <v>0.2965625</v>
      </c>
    </row>
    <row r="64" spans="2:5" ht="12.75">
      <c r="B64" s="1"/>
      <c r="C64" s="1"/>
      <c r="D64" s="104" t="s">
        <v>17</v>
      </c>
      <c r="E64" s="547">
        <f>SUM(E60:E63)</f>
        <v>31.2705</v>
      </c>
    </row>
    <row r="65" spans="1:5" ht="12.75">
      <c r="A65" s="1"/>
      <c r="B65" s="1"/>
      <c r="C65" s="1"/>
      <c r="D65" s="1"/>
      <c r="E65" s="8"/>
    </row>
    <row r="71" spans="1:5" ht="12.75">
      <c r="A71" s="1"/>
      <c r="B71" s="1"/>
      <c r="C71" s="1"/>
      <c r="D71" s="1"/>
      <c r="E71" s="8"/>
    </row>
  </sheetData>
  <sheetProtection/>
  <mergeCells count="38">
    <mergeCell ref="A1:L1"/>
    <mergeCell ref="A6:G6"/>
    <mergeCell ref="A7:G7"/>
    <mergeCell ref="A19:D19"/>
    <mergeCell ref="A20:D20"/>
    <mergeCell ref="A11:D11"/>
    <mergeCell ref="A3:G3"/>
    <mergeCell ref="A5:G5"/>
    <mergeCell ref="A56:D56"/>
    <mergeCell ref="A12:D12"/>
    <mergeCell ref="A13:D13"/>
    <mergeCell ref="A18:D18"/>
    <mergeCell ref="A53:D53"/>
    <mergeCell ref="A54:D54"/>
    <mergeCell ref="A25:D25"/>
    <mergeCell ref="A49:D49"/>
    <mergeCell ref="A27:D27"/>
    <mergeCell ref="A32:D32"/>
    <mergeCell ref="A33:D33"/>
    <mergeCell ref="A34:D34"/>
    <mergeCell ref="A39:D39"/>
    <mergeCell ref="A62:D62"/>
    <mergeCell ref="A40:D40"/>
    <mergeCell ref="A41:D41"/>
    <mergeCell ref="A46:D46"/>
    <mergeCell ref="A47:D47"/>
    <mergeCell ref="A55:D55"/>
    <mergeCell ref="A60:D60"/>
    <mergeCell ref="A63:D63"/>
    <mergeCell ref="A4:G4"/>
    <mergeCell ref="A14:D14"/>
    <mergeCell ref="A21:D21"/>
    <mergeCell ref="A28:D28"/>
    <mergeCell ref="A35:D35"/>
    <mergeCell ref="A42:D42"/>
    <mergeCell ref="A26:D26"/>
    <mergeCell ref="A48:D48"/>
    <mergeCell ref="A61:D61"/>
  </mergeCells>
  <printOptions horizontalCentered="1"/>
  <pageMargins left="0.75" right="0.75" top="1" bottom="1" header="0.5" footer="0.5"/>
  <pageSetup fitToHeight="0" horizontalDpi="300" verticalDpi="300" orientation="landscape" scale="80" r:id="rId2"/>
  <headerFooter alignWithMargins="0">
    <oddFooter>&amp;L&amp;D
&amp;C&amp;P of &amp;N&amp;R&amp;A</oddFooter>
  </headerFooter>
  <rowBreaks count="1" manualBreakCount="1">
    <brk id="3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and Tracey Haskell</dc:creator>
  <cp:keywords/>
  <dc:description/>
  <cp:lastModifiedBy>Kathy</cp:lastModifiedBy>
  <cp:lastPrinted>2014-04-14T17:07:36Z</cp:lastPrinted>
  <dcterms:created xsi:type="dcterms:W3CDTF">2000-12-20T22:08:37Z</dcterms:created>
  <dcterms:modified xsi:type="dcterms:W3CDTF">2014-04-14T17:07:46Z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